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firstSheet="3" activeTab="5"/>
  </bookViews>
  <sheets>
    <sheet name="ประกาศรายงานการดำเนินการ1" sheetId="1" r:id="rId1"/>
    <sheet name="รับ-จ่ายต.ค.-ธ.ค." sheetId="2" r:id="rId2"/>
    <sheet name="ประกาศรายงานการดำเนินการ2" sheetId="3" r:id="rId3"/>
    <sheet name="รับ-จ่ายม.ค.-มี.ค." sheetId="4" r:id="rId4"/>
    <sheet name="ประกาศรายงานการดำเนินการ3" sheetId="5" r:id="rId5"/>
    <sheet name="รับ-จ่ายเม.ย.-มิ.ย." sheetId="6" r:id="rId6"/>
  </sheets>
  <definedNames>
    <definedName name="_xlnm.Print_Area" localSheetId="1">'รับ-จ่ายต.ค.-ธ.ค.'!$A$1:$K$284</definedName>
    <definedName name="_xlnm.Print_Area" localSheetId="3">'รับ-จ่ายม.ค.-มี.ค.'!$A$1:$J$291</definedName>
    <definedName name="_xlnm.Print_Area" localSheetId="5">'รับ-จ่ายเม.ย.-มิ.ย.'!$A$1:$J$291</definedName>
    <definedName name="_xlnm.Print_Titles" localSheetId="1">'รับ-จ่ายต.ค.-ธ.ค.'!$81:$81</definedName>
    <definedName name="_xlnm.Print_Titles" localSheetId="3">'รับ-จ่ายม.ค.-มี.ค.'!$81:$81</definedName>
    <definedName name="_xlnm.Print_Titles" localSheetId="5">'รับ-จ่ายเม.ย.-มิ.ย.'!$81:$81</definedName>
  </definedNames>
  <calcPr fullCalcOnLoad="1"/>
</workbook>
</file>

<file path=xl/sharedStrings.xml><?xml version="1.0" encoding="utf-8"?>
<sst xmlns="http://schemas.openxmlformats.org/spreadsheetml/2006/main" count="1853" uniqueCount="370">
  <si>
    <t>องค์การบริหารส่วนตำบลขนอม   อำเภอขนอม   จังหวัดนครศรีธรรมราช</t>
  </si>
  <si>
    <t>รายรับ  -  รายจ่าย   3  เดือน</t>
  </si>
  <si>
    <t>ห้วงตั้งแต่วันที่  1 ตุลาคม - 30 ธันวาคม 2548</t>
  </si>
  <si>
    <t>รายการ</t>
  </si>
  <si>
    <t>รหัสบัญชี</t>
  </si>
  <si>
    <t>รับจริง</t>
  </si>
  <si>
    <t>รวมรับจริง</t>
  </si>
  <si>
    <t>ประมาณการ</t>
  </si>
  <si>
    <t>รายรับ</t>
  </si>
  <si>
    <t>ก  รายได้ภาษีอากร</t>
  </si>
  <si>
    <t xml:space="preserve">     1.  หมวดภาษีอากร</t>
  </si>
  <si>
    <t>0100</t>
  </si>
  <si>
    <t xml:space="preserve">           1.1  ภาษีบำรุงท้องที่</t>
  </si>
  <si>
    <t>0102</t>
  </si>
  <si>
    <t xml:space="preserve">           1.2  ภาษีโรงเรือนและที่ดิน</t>
  </si>
  <si>
    <t>0101</t>
  </si>
  <si>
    <t xml:space="preserve">           1.3  ภาษีป้าย</t>
  </si>
  <si>
    <t>0103</t>
  </si>
  <si>
    <t xml:space="preserve">           1.4 ภาษีอากรฆ่าสัตว์</t>
  </si>
  <si>
    <t>0104</t>
  </si>
  <si>
    <t xml:space="preserve">           1.5 ภาษีสุรา</t>
  </si>
  <si>
    <t>1005</t>
  </si>
  <si>
    <t xml:space="preserve">           1.6 ภาษีสรรพสามิต</t>
  </si>
  <si>
    <t>1006</t>
  </si>
  <si>
    <t xml:space="preserve">           1.7 ค่าธรรมเนียมจดทะเบียนสิทธิและนิติกรรม</t>
  </si>
  <si>
    <t>1013</t>
  </si>
  <si>
    <t xml:space="preserve">           1.8 ค่าภาหลวงและค่าธรรมเนียมป่าไม้</t>
  </si>
  <si>
    <t>1009</t>
  </si>
  <si>
    <t>-</t>
  </si>
  <si>
    <t xml:space="preserve">           1.9 ค่าอากรประทานบัตรและอาชญาบัตรประมง</t>
  </si>
  <si>
    <t>1014</t>
  </si>
  <si>
    <t xml:space="preserve">           1.10 ภาษีและค่าธรรมเนียมรถยนต์หรือล้อเลื่อน</t>
  </si>
  <si>
    <t>1001</t>
  </si>
  <si>
    <t xml:space="preserve">           1.11 ค่าภาษีมูลค่าเพิ่ม</t>
  </si>
  <si>
    <t>1002</t>
  </si>
  <si>
    <t xml:space="preserve">           1.12 ค่าภาษีธุรกิจเฉพาะ</t>
  </si>
  <si>
    <t>1004</t>
  </si>
  <si>
    <t xml:space="preserve">           1.13 ค่าภาคหลวงแร่</t>
  </si>
  <si>
    <t>1010</t>
  </si>
  <si>
    <t xml:space="preserve">           1.14 ค่าภาคหลวงปิโตรเลียม</t>
  </si>
  <si>
    <t>1011</t>
  </si>
  <si>
    <t>ข. รายได้ที่มิใช่ภาษีอากร</t>
  </si>
  <si>
    <t xml:space="preserve">    1.  หมวดค่าธรรมเนียมค่าปรับและใบอนุญาติ</t>
  </si>
  <si>
    <t>0120</t>
  </si>
  <si>
    <t xml:space="preserve">            1.1 ค่าธรรมเนียมเกี่ยกับการควบคุมการฆ่าสัตว์</t>
  </si>
  <si>
    <t xml:space="preserve">                   และจำหน่ายเนื้อสัตว์</t>
  </si>
  <si>
    <t>0121</t>
  </si>
  <si>
    <t xml:space="preserve">            1.2 ค่าปรับผิดสัญญา</t>
  </si>
  <si>
    <t>0140</t>
  </si>
  <si>
    <t xml:space="preserve">            1.3 ค่าธรรมเนียมเกี่ยวกับใบอนุญาติการพนัน</t>
  </si>
  <si>
    <t>0123</t>
  </si>
  <si>
    <t xml:space="preserve">            1.4 ค่าใบอนุญาตเกี่ยวกับการควบคุมอาคาร</t>
  </si>
  <si>
    <t>0146</t>
  </si>
  <si>
    <t xml:space="preserve">            1.5 ค่าธรรมเนียมเกี่ยวกับการควบคุมอาคาร</t>
  </si>
  <si>
    <t>0125</t>
  </si>
  <si>
    <t xml:space="preserve">            1.6 ค่าจำกัดขยะมูลฝอยและสิ่งปฎิกูล</t>
  </si>
  <si>
    <t>0126</t>
  </si>
  <si>
    <t xml:space="preserve">            1.7 ค่าปรับผิดจราจรทางบก</t>
  </si>
  <si>
    <t>0147</t>
  </si>
  <si>
    <t xml:space="preserve">            1.8 ค่าใบอนุญาตกิจการที่เป็นอันตรายต่อสุขภาพ</t>
  </si>
  <si>
    <t>0137</t>
  </si>
  <si>
    <t xml:space="preserve">            1.9 ค่าปรับผู้กระทำผิดกฎหมายและข้อบัญญัติท้องถิ่น</t>
  </si>
  <si>
    <t>0128</t>
  </si>
  <si>
    <t>ยอดยกไป</t>
  </si>
  <si>
    <t>ยอดยกมา</t>
  </si>
  <si>
    <t xml:space="preserve">            1.10  ค่าใบอนุญาตอื่น ๆ</t>
  </si>
  <si>
    <t>0139</t>
  </si>
  <si>
    <t xml:space="preserve">    2.  หมวดรายได้จากทรัพย์สิน</t>
  </si>
  <si>
    <t>0200</t>
  </si>
  <si>
    <t xml:space="preserve">            2.1  ดอกเบี้ยเงินฝากธนาคาร</t>
  </si>
  <si>
    <t>0203</t>
  </si>
  <si>
    <t xml:space="preserve">            2.2  ค่าเช่าที่ดินและสถานที่</t>
  </si>
  <si>
    <t>0201</t>
  </si>
  <si>
    <t xml:space="preserve">    3.  หมวดรายได้จากสาธารณูปโภคและการพาณิชย์</t>
  </si>
  <si>
    <t>0250</t>
  </si>
  <si>
    <t xml:space="preserve">            3.1  รายได้จากการดำเนินกิจการตลาด</t>
  </si>
  <si>
    <t>0253</t>
  </si>
  <si>
    <t xml:space="preserve">    4.  หมวดรายได้เบ็ดเตล็ด</t>
  </si>
  <si>
    <t>0300</t>
  </si>
  <si>
    <t xml:space="preserve">            4.1  ค่าขายแบบแปลน</t>
  </si>
  <si>
    <t>0302</t>
  </si>
  <si>
    <t xml:space="preserve">            4.2  รายได้อื่น ๆ</t>
  </si>
  <si>
    <t>0307</t>
  </si>
  <si>
    <t>ค. รายได้จากทุน</t>
  </si>
  <si>
    <t>0350</t>
  </si>
  <si>
    <t xml:space="preserve">     1.  ค่าขายทอตลาดทรัพย์สิน</t>
  </si>
  <si>
    <t>0351</t>
  </si>
  <si>
    <t>ง.  เงินช่วยเหลือ</t>
  </si>
  <si>
    <t xml:space="preserve">     1.  หมวดเงินอุดหนุนทั่วไป</t>
  </si>
  <si>
    <t>2002</t>
  </si>
  <si>
    <t xml:space="preserve">     2.  เงินอุดหนุนจากองค์การบริหารส่วนตำบลควนทอง</t>
  </si>
  <si>
    <t>2003</t>
  </si>
  <si>
    <t xml:space="preserve">                                         รวมรายรับทั้งสิ้น</t>
  </si>
  <si>
    <t>จ่ายจริง</t>
  </si>
  <si>
    <t>รวมจ่ายจริง</t>
  </si>
  <si>
    <t>รายจ่าย</t>
  </si>
  <si>
    <t>ก  รายจ่ายประจำ</t>
  </si>
  <si>
    <t xml:space="preserve">     1.  รายจ่ายงบกลาง</t>
  </si>
  <si>
    <t>000</t>
  </si>
  <si>
    <t xml:space="preserve">           1.1  เงินสมทบกองทุนบำเหน็จบำนาญข้าราชการส่วนท้องถิ่น</t>
  </si>
  <si>
    <t>003</t>
  </si>
  <si>
    <t xml:space="preserve">           1.2  เงินสมทบกองทุนประกันสังคม</t>
  </si>
  <si>
    <t>002</t>
  </si>
  <si>
    <t xml:space="preserve">           1.3  ทุนการศึกษาปริญญาโท</t>
  </si>
  <si>
    <t xml:space="preserve">           1.4  ทุนการศึกษาปริญญาตรี</t>
  </si>
  <si>
    <t xml:space="preserve">           1.3  เงินสำรองจ่าย</t>
  </si>
  <si>
    <t>004</t>
  </si>
  <si>
    <t xml:space="preserve">      2.  หมวดเงินเดือนและค่าจ้างลูกจ้างประจำ</t>
  </si>
  <si>
    <t xml:space="preserve">           2.1 เงินเดือนพนักงานส่วนตำบล</t>
  </si>
  <si>
    <t>102</t>
  </si>
  <si>
    <t xml:space="preserve">           2.2 เงินเพิ่มต่าง ๆ </t>
  </si>
  <si>
    <t>103</t>
  </si>
  <si>
    <t xml:space="preserve">           2.3 เงินเดือน/ค่าตอบแทนผู้บริหาร</t>
  </si>
  <si>
    <t>101</t>
  </si>
  <si>
    <t xml:space="preserve">           2.4 เงินเดือน/ค่าตอบแทนเลขานุการผู้บริหาร</t>
  </si>
  <si>
    <t>106</t>
  </si>
  <si>
    <t xml:space="preserve">           2.5 ค่าจ้างลูกจ้างประจำ</t>
  </si>
  <si>
    <t>121</t>
  </si>
  <si>
    <t xml:space="preserve">           2.6 เงินเพิ่มต่าง ๆ</t>
  </si>
  <si>
    <t>122</t>
  </si>
  <si>
    <t xml:space="preserve">           2.7 เงินประจำตำแหน่ง</t>
  </si>
  <si>
    <t>105</t>
  </si>
  <si>
    <t xml:space="preserve">        3. หมวดค่าจ้างชั่วคราว</t>
  </si>
  <si>
    <t>130</t>
  </si>
  <si>
    <t xml:space="preserve">            3.1 เงินเดือนหรือเงินที่จ่ายเพิ่มให้พนักงานจ้าง</t>
  </si>
  <si>
    <t>131</t>
  </si>
  <si>
    <t xml:space="preserve">        4. หมวดค่าตอบแทนใช้สอยและวัสดุ</t>
  </si>
  <si>
    <t xml:space="preserve">             ค่าตอบแทน</t>
  </si>
  <si>
    <t>200</t>
  </si>
  <si>
    <t xml:space="preserve">             4.1 ค่าตอบแทนสมาชิกสภา</t>
  </si>
  <si>
    <t>201</t>
  </si>
  <si>
    <t xml:space="preserve">             4.2 ค่าเบี้ยประชุม</t>
  </si>
  <si>
    <t>204</t>
  </si>
  <si>
    <t xml:space="preserve">             4.3 เงินช่วยเหลือการศึกษาบุตร</t>
  </si>
  <si>
    <t>207</t>
  </si>
  <si>
    <t xml:space="preserve">             4.4 เงินช่วยเหลือการรักษาพยาบาล</t>
  </si>
  <si>
    <t>208</t>
  </si>
  <si>
    <t xml:space="preserve">             4.5  ค่าตอบแทนเป็นกรณีพิเศษแก่พนักงานส่วนตำบลฯ</t>
  </si>
  <si>
    <t xml:space="preserve">             4.6 ค่าตอบแทนผู้ปฏิบัติราชการอันเป็นประโยชน์แก่อบต.</t>
  </si>
  <si>
    <t>203</t>
  </si>
  <si>
    <t xml:space="preserve">             4.7 ค่าตอบแทนปฏิบัติงานนอกเวลา</t>
  </si>
  <si>
    <t xml:space="preserve">             4.8 ค่าตอบแทนบุคลากรหน่วยงานอื่น</t>
  </si>
  <si>
    <t>211</t>
  </si>
  <si>
    <t xml:space="preserve">              ค่าใช้สอย</t>
  </si>
  <si>
    <t>250</t>
  </si>
  <si>
    <t xml:space="preserve">             4.8 รายจ่ายเพื่อให้ได้มาซึ่งบริการ</t>
  </si>
  <si>
    <t>251</t>
  </si>
  <si>
    <t xml:space="preserve">                    -  ค่าติดตั้งระบบเครือข่าย</t>
  </si>
  <si>
    <t xml:space="preserve">                   -   ค่าติดตั้งโทรศัพท์</t>
  </si>
  <si>
    <t xml:space="preserve">                    -  ค่าติดตั้งไฟฟ้า</t>
  </si>
  <si>
    <t xml:space="preserve">                   -   ค่าติดตั้งประปา</t>
  </si>
  <si>
    <t xml:space="preserve">                  -   ค่าใช้จ่ายในการเช่าพื้นที่ฝากเว็บไซต์ของอบต.</t>
  </si>
  <si>
    <t xml:space="preserve">                   -  ค่าใชัจ่ายในการจด โดเมนเนม</t>
  </si>
  <si>
    <t xml:space="preserve">                  -   ค่าเย็บหนังสือ เข้าปกหนังสือ</t>
  </si>
  <si>
    <t xml:space="preserve">                  -   ค่าจ้างทำอาหารศูนย์พัฒนาเด็กเล็กจงถนอม</t>
  </si>
  <si>
    <t xml:space="preserve">                  -   ค่าจ้างทำอาหารศูนย์พัฒนาเด็กเล็กกระดังงา</t>
  </si>
  <si>
    <t xml:space="preserve">                  -   รายจ่ายเพื่อป้องกันและบรรเทพสาธารณภัย</t>
  </si>
  <si>
    <t xml:space="preserve">                 -  ค่าใช้จ่ายเพื่อป้องกันและแก้ไขปัญหาอุทกภัย</t>
  </si>
  <si>
    <t xml:space="preserve">         4.9   รายจ่ายเพื่อบำรุงรักษาหรือซ่อมแซมทรัพย์สิน</t>
  </si>
  <si>
    <t>252</t>
  </si>
  <si>
    <t xml:space="preserve">         4.10  รายจ่ายเกี่ยวกับการรับรองพิธีการ</t>
  </si>
  <si>
    <t>253</t>
  </si>
  <si>
    <t xml:space="preserve">                  -  ค่าใช้จ่ายในการจัดงานต่าง ๆ</t>
  </si>
  <si>
    <t xml:space="preserve">                  -  ค่ารับรอง</t>
  </si>
  <si>
    <t xml:space="preserve">                  -  ค่าเลี้ยงรับรองในการประชุมสภา</t>
  </si>
  <si>
    <t xml:space="preserve">                  -   ค่าใช้จ่ายในการปลูกต้นไม้พร้อมด้วยปุ๋ยในเขตตำบล</t>
  </si>
  <si>
    <t xml:space="preserve">                  -   ค่าใช้จ่ายในการจัดการแข่งขังกีฬา</t>
  </si>
  <si>
    <t xml:space="preserve">                  -   ค่าใช้จ่ายในการประชุมหรือสัมมนาในการดำเนินการ</t>
  </si>
  <si>
    <t xml:space="preserve">                         จัดเวทีประชาคมหมู่บ้านและตำบล</t>
  </si>
  <si>
    <t xml:space="preserve">                  -  ค่าใช้จ่ายในการจัดกิจกรรมทางศาสนา</t>
  </si>
  <si>
    <t xml:space="preserve">                  -    ค่าใช้จ่ายในการฝึกอบรม</t>
  </si>
  <si>
    <t xml:space="preserve">                  -  ค่าฝึกอบรมราษฎรในการส่งเสริมอาชีพต่าง ๆ</t>
  </si>
  <si>
    <t xml:space="preserve">                  -   ค่าฝึกอบรมอาสาสมัครป้องกันภัยฝ่ายพลเรือน</t>
  </si>
  <si>
    <t xml:space="preserve">                  -   ค่าใช้จ่ายในการศึกษาดูงานของพนักงาน</t>
  </si>
  <si>
    <t xml:space="preserve">                  -  ค่าใช้จ่ายในการฝึกอบรมตามโครงการสุขาภิบาล</t>
  </si>
  <si>
    <t xml:space="preserve">         4.11  รายจ่ายเกี่ยวเนื่องกับการปฏิบัติราชการที่ไม่เข้า</t>
  </si>
  <si>
    <t>254</t>
  </si>
  <si>
    <t xml:space="preserve">                      ลักษณะรายจ่ายหมวดอื่น  ๆ</t>
  </si>
  <si>
    <t xml:space="preserve">                  -  ค่าใช้จ่ายในการเดินทางไปราชการ</t>
  </si>
  <si>
    <t xml:space="preserve">                  -  ค่าของขวัญ ของรางวัล</t>
  </si>
  <si>
    <t xml:space="preserve">                   -  ค่าใช้จ่ายในการสำรวจ จัดเก็บ และบันทึกข้อมูล จปฐ</t>
  </si>
  <si>
    <t xml:space="preserve">                   - ค่าใช้จ่ายในการรังวัดตรวจสอบหนังสือ</t>
  </si>
  <si>
    <t xml:space="preserve">                   -  ค่าใช้จ่ายในการจัดทำโครงการรณรงค์ความสะอาด</t>
  </si>
  <si>
    <t xml:space="preserve">                   -  ค่าใช้จ่ายเป็นค่าช่วยเหลือผู้สูงอายุ</t>
  </si>
  <si>
    <t xml:space="preserve">                   -  ค่าใช้จ่ายเป็นค่าช่วยเหลือผูพิการ</t>
  </si>
  <si>
    <t xml:space="preserve">                   -  ค่าใช้จ่ายเป็นค่าทำศพ</t>
  </si>
  <si>
    <t xml:space="preserve">                   -  ค่าใช้จ่ายสำหรับการจัดการแข่งขันทางทักษะ</t>
  </si>
  <si>
    <t xml:space="preserve">                   -  ค่าใช้จ่ายเป็นค่าอาหารเสริม  (นม)</t>
  </si>
  <si>
    <t xml:space="preserve">                   -  ค่าใช้จ่ายในการจัดกิจกรรมบัณฑิตน้อย</t>
  </si>
  <si>
    <t xml:space="preserve">                   -  ค่าใช้จ่ายในการแข่งขันกีฬาศูนย์พัฒนาเด็กเล็ก</t>
  </si>
  <si>
    <t xml:space="preserve">                   -  ค่าเช่าที่ราชพัสดุ</t>
  </si>
  <si>
    <t xml:space="preserve">              ค่าวัสดุ</t>
  </si>
  <si>
    <t>270</t>
  </si>
  <si>
    <t xml:space="preserve">          4.12  ค่าวัสดุสำนักงาน</t>
  </si>
  <si>
    <t>271</t>
  </si>
  <si>
    <t xml:space="preserve">                   -  สิ่งของเครื่องใช้ต่าง ๆ</t>
  </si>
  <si>
    <t xml:space="preserve">                   -  ค่าจัดซื้อวารสาร</t>
  </si>
  <si>
    <t xml:space="preserve">                   -  ค่าจัดซื้อวัสดุอุปกรณ์ศูนย์ข้อมูลข่าวสาร</t>
  </si>
  <si>
    <t xml:space="preserve">                   -  ค่าจัดซื้อบานเกล็ดบังตา</t>
  </si>
  <si>
    <t xml:space="preserve">          4.13   ค่าวัสดุการศึกษา</t>
  </si>
  <si>
    <t>283</t>
  </si>
  <si>
    <t xml:space="preserve">          4.14   ค่าวัสดุงานบ้านงานครัว</t>
  </si>
  <si>
    <t>273</t>
  </si>
  <si>
    <t xml:space="preserve">          4.15   ค่าวัสุคอมพิวเตอร์</t>
  </si>
  <si>
    <t>282</t>
  </si>
  <si>
    <t xml:space="preserve">          4.16   ค่าวัสดุโฆษณาและเผยแพร่</t>
  </si>
  <si>
    <t>279</t>
  </si>
  <si>
    <t xml:space="preserve">          4.17   ค่าวัสดุยานพาหนหะและขนส่ง</t>
  </si>
  <si>
    <t>275</t>
  </si>
  <si>
    <t xml:space="preserve">          4.18   ค่าวัสดุไฟฟ้าและวิทยุ</t>
  </si>
  <si>
    <t>272</t>
  </si>
  <si>
    <t xml:space="preserve">          4.19  ค่าวัสดุน้ำมันเชื้อเพลิงและหล่อลื่น</t>
  </si>
  <si>
    <t>276</t>
  </si>
  <si>
    <t xml:space="preserve">          4.20  ค่าวัสดุการเกษตร</t>
  </si>
  <si>
    <t>278</t>
  </si>
  <si>
    <t xml:space="preserve">          4.21  ค่าวัสดุกีฬา</t>
  </si>
  <si>
    <t>281</t>
  </si>
  <si>
    <t xml:space="preserve">          4.22  ค่าวัสดุเครื่องแต่งกาย</t>
  </si>
  <si>
    <t>280</t>
  </si>
  <si>
    <t xml:space="preserve">                   -  ค่าจัดซื้อวัสดุต่าง ๆ</t>
  </si>
  <si>
    <t xml:space="preserve">                   -  ค่าจัดซื้อชุด อปพร.</t>
  </si>
  <si>
    <t xml:space="preserve">                   -  ค่าจัดซื้อชุดกีฬา</t>
  </si>
  <si>
    <t xml:space="preserve">           4.23  ค่าวัสดุก่อสร้าง</t>
  </si>
  <si>
    <t>274</t>
  </si>
  <si>
    <t xml:space="preserve">       5.หมวดค่าสาธารณูปโภค</t>
  </si>
  <si>
    <t>300</t>
  </si>
  <si>
    <t xml:space="preserve">             5.1  ค่าไฟฟ้า</t>
  </si>
  <si>
    <t>301</t>
  </si>
  <si>
    <t xml:space="preserve"> </t>
  </si>
  <si>
    <t xml:space="preserve">                     5.1.1  ค่าไฟฟ้าอบต.ขนอม</t>
  </si>
  <si>
    <t xml:space="preserve">                     5.1.2  ค่าไฟฟ้าศูนย์รวมข้อมูลข่าวสาร</t>
  </si>
  <si>
    <t xml:space="preserve">                     5.1.3  ค่าไฟฟ้าศูนย์พัฒนาเด็กเล็ก</t>
  </si>
  <si>
    <t xml:space="preserve">             5.2  ค่าน้ำประปา</t>
  </si>
  <si>
    <t>302</t>
  </si>
  <si>
    <t xml:space="preserve">             5.3  ค่าโทรศัพท์</t>
  </si>
  <si>
    <t>303</t>
  </si>
  <si>
    <t xml:space="preserve">             5.4  ค่าไปรษณีย์</t>
  </si>
  <si>
    <t>304</t>
  </si>
  <si>
    <t xml:space="preserve">        6.หมวดเงินอุดหนุน</t>
  </si>
  <si>
    <t>400</t>
  </si>
  <si>
    <t xml:space="preserve">              6.1  ประเภทเงินอุดหนุนของรัฐ  </t>
  </si>
  <si>
    <t>403</t>
  </si>
  <si>
    <t xml:space="preserve">                      -  อุดหนุนที่ทำการปกครองอำเภอขนอม</t>
  </si>
  <si>
    <t xml:space="preserve">                      -   อุดหนุนสถานีตำรวจภูธรอำเภอขนอม</t>
  </si>
  <si>
    <t xml:space="preserve">                      -   อุดหนุนโรงเรียนบ้านวัดใน</t>
  </si>
  <si>
    <t xml:space="preserve">                      -   อุดหนุนโรงเรียนวัดเขา</t>
  </si>
  <si>
    <t xml:space="preserve">                     -   อุดหนุนโรงเรียนบ้านเปร็ต</t>
  </si>
  <si>
    <t xml:space="preserve">                     -   อุดหนุนโรงเรียนวัดกระดังงา</t>
  </si>
  <si>
    <t xml:space="preserve">                     -   อุดหนุนโรงเรียนบ้านในเพลา</t>
  </si>
  <si>
    <t xml:space="preserve">                     -   อุดหนุนโรงเรียนขนอมพิทยา</t>
  </si>
  <si>
    <t xml:space="preserve"> ข  รายจ่ายเพื่อการลงทุน</t>
  </si>
  <si>
    <t xml:space="preserve">     2. หมวดค่าครุภัณฑ์ที่ดินและสิ่งก่อสร้าง</t>
  </si>
  <si>
    <t xml:space="preserve">         ค่าครุภัณฑ์</t>
  </si>
  <si>
    <t>450</t>
  </si>
  <si>
    <t xml:space="preserve">            2.1  ค่าครุภัณฑ์สำนักงาน</t>
  </si>
  <si>
    <t>451</t>
  </si>
  <si>
    <t xml:space="preserve">            2.2  ครุภัณฑ์คอมพิวเตอร์</t>
  </si>
  <si>
    <t>466</t>
  </si>
  <si>
    <t xml:space="preserve">            2.3  ครุภัณฑ์ดับเพลิง</t>
  </si>
  <si>
    <t>461</t>
  </si>
  <si>
    <t xml:space="preserve">            2.4  ครุภัณฑ์การศึกษา</t>
  </si>
  <si>
    <t>452</t>
  </si>
  <si>
    <t xml:space="preserve">            2.5  ครุภัณฑ์ไฟฟ้าและวิทยุ</t>
  </si>
  <si>
    <t>456</t>
  </si>
  <si>
    <t xml:space="preserve">            2.6  ครุภัณฑ์ยานพาหนะและขนส่ง</t>
  </si>
  <si>
    <t>453</t>
  </si>
  <si>
    <t xml:space="preserve">            2.7  ครุภัณฑ์โฆษณาและเผยแพร่</t>
  </si>
  <si>
    <t>457</t>
  </si>
  <si>
    <t xml:space="preserve">            2.8  ครุภัณฑ์อื่น ๆ</t>
  </si>
  <si>
    <t>467</t>
  </si>
  <si>
    <t xml:space="preserve">            2.9  ครุภัณฑ์ก่อสร้าง</t>
  </si>
  <si>
    <t xml:space="preserve">         ค่าที่ดินและสิ่งก่อสร้าง</t>
  </si>
  <si>
    <t>500</t>
  </si>
  <si>
    <t xml:space="preserve">            2.1  ค่าก่อสร้างถนน คสล.สายศิริสุข  หมู่ที่  2  </t>
  </si>
  <si>
    <t>516</t>
  </si>
  <si>
    <t xml:space="preserve">            2.2  ค่าก่อสร้างถนนรั้วคสล.ศูนย์พัฒนาเด็กเล็กจงถนอม</t>
  </si>
  <si>
    <t xml:space="preserve">                    หมู่ที่ 2</t>
  </si>
  <si>
    <t xml:space="preserve">            2.3  ค่าติดตั้งไฟฟ้าและแสงสว่างสาธารณะ หมู่ที 2,4,7</t>
  </si>
  <si>
    <t xml:space="preserve">            2.4  ค่าก่อสร้างถนนสายโสณเสฐ หมู่ที่ 2</t>
  </si>
  <si>
    <t xml:space="preserve">            2.5  ค่าก่อสร้างถนนคสล.ซอยพูลเสวก หมู่ที่ 3</t>
  </si>
  <si>
    <t xml:space="preserve">            2.6  ค่าก่อสร้างรางระบายน้ำ คสล.ตลาดสี่แยก หมู่ที่ 4</t>
  </si>
  <si>
    <t xml:space="preserve">            2.7  ค่าก่อสร้างรั้วพร้อมป้ายหน้าอาคาร</t>
  </si>
  <si>
    <t xml:space="preserve">                   องค์การบริหารส่วนตำบลขนอม หมู่ที่ 4</t>
  </si>
  <si>
    <t xml:space="preserve">            2.8  ค่าก่อสร้างเสาธง หน้าที่ทำการ</t>
  </si>
  <si>
    <t xml:space="preserve">                    องค์การบริหารส่วนตำบลขนอม หมู่ที่ 4</t>
  </si>
  <si>
    <t xml:space="preserve">            2.9  ค่าก่อสร้างถนน คสล.รอบอาคารที่ทำการ</t>
  </si>
  <si>
    <t xml:space="preserve">           2.10 ค่าก่อสร้างถนนคสล.ซอยยุวดี หมู่ที่ 5</t>
  </si>
  <si>
    <t xml:space="preserve">           2.11 ค่าก่อสร้างรางระบายน้ำ คสล. หมู่ที 6</t>
  </si>
  <si>
    <t xml:space="preserve">           2.12 ค่าปรับปรุงถนนสายซอยนายบุญมี หมู่ที่ 6</t>
  </si>
  <si>
    <t xml:space="preserve">           2.13 ค่าก่อสร้างถนนลาดยางแอสฟัลทฺติกคอนกรีต  </t>
  </si>
  <si>
    <t xml:space="preserve">                    สายควนกลอย หมู่ที่7</t>
  </si>
  <si>
    <t xml:space="preserve">           2.14 ค่าก่อสร้างไหล่ทาง คสล.สายหลังโรงเรียนบ้านเปร็ต </t>
  </si>
  <si>
    <t xml:space="preserve">                    หมู่ที่ 7</t>
  </si>
  <si>
    <t xml:space="preserve">           2.15 ค่าก่อสร้างถนนคสล.สายสี่แยกในเพลา- ชาทะเล </t>
  </si>
  <si>
    <t xml:space="preserve">                    หมู่ที่ 8</t>
  </si>
  <si>
    <t xml:space="preserve">           2.16 ค่าปรับปรุงถนนสายโลมา หมู่ที่ 8</t>
  </si>
  <si>
    <t xml:space="preserve">           2.17 ค่าก่อสร้างถนนคสล.สายน้ำตกเสม็ดชุน หมู่ที่ 9</t>
  </si>
  <si>
    <t xml:space="preserve">           2.18 ค่าก่อสร้างถนนคสล.สายวัดเขา - นาคลอง หมู่ที่ 10</t>
  </si>
  <si>
    <t xml:space="preserve">           2.19 ค่าก่อสร้างต่อเติมสันฝาย คสล.  (ต่อจากงบประมาณ </t>
  </si>
  <si>
    <t xml:space="preserve">                    ปี 2548)   หมู่ที่ 11 </t>
  </si>
  <si>
    <t xml:space="preserve">           2.20 ค่าปรับปรุงถนนสายวัดใน - บ้านผู้ใหญ่บำรุง หมู่ที่ 11</t>
  </si>
  <si>
    <t xml:space="preserve">           2.21 ค่าบุกเบิกถนนสายวัดใน - วัดเขา หมู่ที่ 11</t>
  </si>
  <si>
    <t xml:space="preserve">           2.22 ค่าปรับปรุงถนนสายนายจิ้น หมู่ที่ 12</t>
  </si>
  <si>
    <t xml:space="preserve">           2.23 ค่าติดตั้งไฟฟ้าและแสงสว่างสาธารณะและขยายเขต</t>
  </si>
  <si>
    <t>501</t>
  </si>
  <si>
    <t xml:space="preserve">                    ไฟฟ้าแรงต่ำนายเขาขุนพนม หมู่ที่ 12</t>
  </si>
  <si>
    <t xml:space="preserve">          2.24 ค่าก่อสร้างต่อเติมประปา (ต่อจากปีงบประมาณ 2548) </t>
  </si>
  <si>
    <t xml:space="preserve">                   หมู่ที่ 13</t>
  </si>
  <si>
    <t xml:space="preserve">          2.25 ค่าติดตั้งไฟฟ้าและแสงสว่าง หมู่ที่ 13</t>
  </si>
  <si>
    <t xml:space="preserve">          2.26 ค่าก่อสร้างเจาะบ่อบาดาล หมู่ที่ 14</t>
  </si>
  <si>
    <t xml:space="preserve">          2.27 ค่าก่อสร้างต่อเติมประปา (ต่อจากปีงบประมาณ 2548) </t>
  </si>
  <si>
    <t xml:space="preserve">                   หมู่ที่ 14</t>
  </si>
  <si>
    <t xml:space="preserve">          2.28 ค่าติดตั้งไฟสัญญาณจราจร (ไฟกระพริบ)</t>
  </si>
  <si>
    <t xml:space="preserve">          2.29 ค่าก่อสร้างป้ายประชาสัมพันธ์</t>
  </si>
  <si>
    <t xml:space="preserve">                                        รวมรายจ่ายทั้งสิ้น</t>
  </si>
  <si>
    <t>ห้วงตั้งแต่วันที่  1 มกราคม - 31 มีนาคม  2549</t>
  </si>
  <si>
    <t xml:space="preserve">                   -  ค่าของขวัญ ของรางวัล</t>
  </si>
  <si>
    <t xml:space="preserve">                   -  ค่าใช้จ่ายในการเดินทางไปราชการ</t>
  </si>
  <si>
    <t xml:space="preserve">            2.9  ครุภัณฑ์งานบ้านงานครัว</t>
  </si>
  <si>
    <t xml:space="preserve">          2.30 ค่าต่อเติมดัดแปลงอาคาร</t>
  </si>
  <si>
    <t xml:space="preserve">          2.31 ค่าจัดทำตู้เก็บเอกสาร</t>
  </si>
  <si>
    <t xml:space="preserve">          2.32 ค่าจัดทำบอร์ดติดประกาศ</t>
  </si>
  <si>
    <t xml:space="preserve">          2.33 ค่าติดตั้งม่านปรับแสงและผ้าม่าน</t>
  </si>
  <si>
    <t xml:space="preserve">                 -  ค่าติดตั้งไฟฟ้า</t>
  </si>
  <si>
    <t xml:space="preserve">                 -   ค่าติดตั้งประปา</t>
  </si>
  <si>
    <t xml:space="preserve">                 -   ค่าใช้จ่ายในการเช่าพื้นที่ฝากเว็บไซต์ของอบต.</t>
  </si>
  <si>
    <t xml:space="preserve">                 -  ค่าใชัจ่ายในการจด โดเมนเนม</t>
  </si>
  <si>
    <t xml:space="preserve">                 -   ค่าเย็บหนังสือ เข้าปกหนังสือ</t>
  </si>
  <si>
    <t xml:space="preserve">                 -   ค่าจ้างทำอาหารศูนย์พัฒนาเด็กเล็กจงถนอม</t>
  </si>
  <si>
    <t xml:space="preserve">                 -   ค่าจ้างทำอาหารศูนย์พัฒนาเด็กเล็กกระดังงา</t>
  </si>
  <si>
    <t xml:space="preserve">                 -   รายจ่ายเพื่อป้องกันและบรรเทาสาธารณภัย</t>
  </si>
  <si>
    <t xml:space="preserve">                 -   ค่าใช้จ่ายเพื่อป้องกันและแก้ไขปัญหาอุทกภัย</t>
  </si>
  <si>
    <t xml:space="preserve">                  -   จัดเวทีประชาคมหมู่บ้านและตำบล</t>
  </si>
  <si>
    <t xml:space="preserve">                  -   ค่าใช้จ่ายในการจัดกิจกรรมทางศาสนา</t>
  </si>
  <si>
    <t xml:space="preserve">                  -   ค่าใช้จ่ายในการฝึกอบรม</t>
  </si>
  <si>
    <t xml:space="preserve">                  -   ค่าใช้จ่ายในการปลูกต้นไม้ ฯ</t>
  </si>
  <si>
    <t xml:space="preserve">                  -   ค่าใช้จ่ายในการประชุมหรือสัมมนา ฯ</t>
  </si>
  <si>
    <t xml:space="preserve">            1.1  เงินสมทบกองทุนบำเหน็จบำนาญข้าราชการส่วนท้องถิ่น</t>
  </si>
  <si>
    <t>0145</t>
  </si>
  <si>
    <t xml:space="preserve">            1.10 ค่าใบอนุญาตจำหน่ายสินค้าในที่สาธารณะ</t>
  </si>
  <si>
    <t>0144</t>
  </si>
  <si>
    <t xml:space="preserve">            1.11 ค่าใบอนุญาตจัดตั้งสถานที่จำหน่ายอาหารฯ</t>
  </si>
  <si>
    <t xml:space="preserve">            1.12 ค่าใบอนุญาตอื่น ๆ</t>
  </si>
  <si>
    <t>0148</t>
  </si>
  <si>
    <t xml:space="preserve">                    2548) หมู่ที่ 13</t>
  </si>
  <si>
    <t xml:space="preserve">          2.24 ค่าก่อสร้างต่อเติมประปา (ต่อจากปีงบประมาณ-</t>
  </si>
  <si>
    <t xml:space="preserve">          2.27 ค่าก่อสร้างต่อเติมประปา (ต่อจากปีงบประมาณ-  </t>
  </si>
  <si>
    <t xml:space="preserve">                   2548) หมู่ที่ 14</t>
  </si>
  <si>
    <t>ห้วงตั้งแต่วันที่  1 เมษายน - 30 มิถุนายน  2549</t>
  </si>
  <si>
    <t xml:space="preserve">            2.10  ครุภัณฑ์งานบ้านงานครัว</t>
  </si>
  <si>
    <t>ห้วงตั้งแต่วันที่  1 เมษายน - 31 มิถุนายน  2549</t>
  </si>
  <si>
    <t>ประกาศองค์การบริหารส่วนตำบลขนอม</t>
  </si>
  <si>
    <t>เรื่อง  รายงานแสดงผลการดำเนินการ ในห้วงวันที่ 1 ตุลาคม - 31 ธันวาคม  2548</t>
  </si>
  <si>
    <t>…………………………………….</t>
  </si>
  <si>
    <t>อาศัยอำนาจตามระเบียบกระทรวงมหาดไทย ว่าด้วยการรับเงิน การเบิกจ่ายเงิน การฝากเงิน</t>
  </si>
  <si>
    <t>การเก็บรักษาเงิน  และการตรวจเงิน ขององค์กรปกครองส่วนท้องถิ่น พ.ศ. 2547  หมวด 11  ข้อ 105   ให้หัวหน้า</t>
  </si>
  <si>
    <t>หน่วยงานคลังจัดทำรายงานแสดงผลการดำเนินงาน ตามที่กรมส่งเสริมการปกครองส่วนท้องถิ่นกำหนด เพื่อนำเสนอ</t>
  </si>
  <si>
    <t>ผู้บริหารท้องถิ่น และประกาศสำเนารายงานดังกล่าว โดยเปิดเผยเพื่อประชาชนทราบ ณ สำนักงานองค์กรปกครอง</t>
  </si>
  <si>
    <t>ส่วนท้องถิ่นทราบทุกสามเดือน</t>
  </si>
  <si>
    <t>องค์การบริหารส่วนตำบลขนอม ขอประกาศรายงานแสงดผลการดำเนินงาน ในห้วงระยะเวลา</t>
  </si>
  <si>
    <t>ตั้งแต่  1  ตุลาคม  -  31  ธันวาคม  2548   ประจำปีงบประมาณ  2549  ให้ทราบโดยทั่วกัน</t>
  </si>
  <si>
    <t>ประกาศ  ณ  วันที่  10  เดือนมกราคม  พ.ศ.  2549</t>
  </si>
  <si>
    <t>(นายพูลศักดิ์   มหาศักดิ์พันธ์)</t>
  </si>
  <si>
    <t>นายกองค์การบริหารส่วนตำบลขนอม</t>
  </si>
  <si>
    <t>ตั้งแต่  1  มกราคม  -  31  มีนาคม  2549  ประจำปีงบประมาณ  2549  ให้ทราบโดยทั่วกัน</t>
  </si>
  <si>
    <t>เรื่อง  รายงานแสดงผลการดำเนินการ ในห้วงวันที่ 1 มกราคม -   31  มีนาคม  2549</t>
  </si>
  <si>
    <t>เรื่อง  รายงานแสดงผลการดำเนินการ ในห้วงวันที่ 1 เมษายน - 30 มิถุนายน  2549</t>
  </si>
  <si>
    <t>ตั้งแต่  1  เมษายน  -  30  มิถุนายน  2549  ประจำปีงบประมาณ  2549  ให้ทราบโดยทั่วกัน</t>
  </si>
  <si>
    <t>ประกาศ  ณ  วันที่  10  เดือนกรกฎาคม  พ.ศ.  2549</t>
  </si>
  <si>
    <t>ประกาศ  ณ  วันที่  10  เดือนเมษายน   พ.ศ.  2549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</si>
</sst>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#,##0.00_ ;\-#,##0.00\ "/>
    <numFmt numFmtId="182" formatCode="_-* #,##0.000_-;\-* #,##0.000_-;_-* &quot;-&quot;??_-;_-@_-"/>
    <numFmt numFmtId="183" formatCode="_-* #,##0.0000_-;\-* #,##0.0000_-;_-* &quot;-&quot;??_-;_-@_-"/>
  </numFmts>
  <fonts count="40">
    <font>
      <sz val="14"/>
      <name val="Cordia New"/>
      <family val="0"/>
    </font>
    <font>
      <b/>
      <sz val="14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sz val="12"/>
      <name val="Angsana New"/>
      <family val="1"/>
    </font>
    <font>
      <sz val="16"/>
      <name val="Cordia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43" fontId="0" fillId="0" borderId="13" xfId="33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3" fontId="1" fillId="0" borderId="11" xfId="33" applyFont="1" applyBorder="1" applyAlignment="1">
      <alignment/>
    </xf>
    <xf numFmtId="49" fontId="0" fillId="0" borderId="12" xfId="0" applyNumberFormat="1" applyBorder="1" applyAlignment="1">
      <alignment horizontal="center"/>
    </xf>
    <xf numFmtId="43" fontId="0" fillId="0" borderId="12" xfId="33" applyBorder="1" applyAlignment="1">
      <alignment/>
    </xf>
    <xf numFmtId="43" fontId="0" fillId="0" borderId="12" xfId="33" applyFont="1" applyBorder="1" applyAlignment="1">
      <alignment horizontal="center"/>
    </xf>
    <xf numFmtId="43" fontId="0" fillId="0" borderId="14" xfId="33" applyBorder="1" applyAlignment="1">
      <alignment/>
    </xf>
    <xf numFmtId="43" fontId="0" fillId="0" borderId="11" xfId="33" applyBorder="1" applyAlignment="1">
      <alignment/>
    </xf>
    <xf numFmtId="0" fontId="0" fillId="0" borderId="14" xfId="0" applyBorder="1" applyAlignment="1">
      <alignment horizontal="center" vertical="top"/>
    </xf>
    <xf numFmtId="49" fontId="0" fillId="0" borderId="14" xfId="0" applyNumberFormat="1" applyBorder="1" applyAlignment="1">
      <alignment horizontal="center"/>
    </xf>
    <xf numFmtId="43" fontId="0" fillId="0" borderId="14" xfId="0" applyNumberFormat="1" applyBorder="1" applyAlignment="1">
      <alignment/>
    </xf>
    <xf numFmtId="43" fontId="0" fillId="0" borderId="13" xfId="0" applyNumberFormat="1" applyBorder="1" applyAlignment="1">
      <alignment horizontal="center"/>
    </xf>
    <xf numFmtId="43" fontId="0" fillId="0" borderId="13" xfId="33" applyBorder="1" applyAlignment="1">
      <alignment horizontal="center"/>
    </xf>
    <xf numFmtId="0" fontId="0" fillId="0" borderId="0" xfId="0" applyBorder="1" applyAlignment="1">
      <alignment horizontal="center"/>
    </xf>
    <xf numFmtId="43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3" fontId="1" fillId="0" borderId="11" xfId="33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43" fontId="1" fillId="0" borderId="11" xfId="33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33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43" fontId="1" fillId="0" borderId="12" xfId="33" applyFont="1" applyBorder="1" applyAlignment="1">
      <alignment/>
    </xf>
    <xf numFmtId="43" fontId="0" fillId="0" borderId="14" xfId="33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3" fontId="0" fillId="0" borderId="13" xfId="33" applyFont="1" applyBorder="1" applyAlignment="1">
      <alignment horizontal="center"/>
    </xf>
    <xf numFmtId="43" fontId="0" fillId="0" borderId="12" xfId="33" applyBorder="1" applyAlignment="1">
      <alignment horizontal="center"/>
    </xf>
    <xf numFmtId="43" fontId="3" fillId="0" borderId="12" xfId="33" applyFont="1" applyBorder="1" applyAlignment="1">
      <alignment/>
    </xf>
    <xf numFmtId="49" fontId="0" fillId="0" borderId="12" xfId="0" applyNumberFormat="1" applyBorder="1" applyAlignment="1">
      <alignment/>
    </xf>
    <xf numFmtId="43" fontId="3" fillId="0" borderId="12" xfId="33" applyFont="1" applyBorder="1" applyAlignment="1">
      <alignment horizontal="center"/>
    </xf>
    <xf numFmtId="43" fontId="0" fillId="0" borderId="12" xfId="33" applyFont="1" applyBorder="1" applyAlignment="1">
      <alignment/>
    </xf>
    <xf numFmtId="49" fontId="0" fillId="0" borderId="0" xfId="0" applyNumberFormat="1" applyAlignment="1">
      <alignment/>
    </xf>
    <xf numFmtId="43" fontId="0" fillId="0" borderId="12" xfId="0" applyNumberFormat="1" applyFont="1" applyBorder="1" applyAlignment="1">
      <alignment/>
    </xf>
    <xf numFmtId="43" fontId="0" fillId="0" borderId="12" xfId="33" applyFont="1" applyBorder="1" applyAlignment="1">
      <alignment/>
    </xf>
    <xf numFmtId="43" fontId="0" fillId="0" borderId="12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43" fontId="0" fillId="0" borderId="16" xfId="33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33" applyBorder="1" applyAlignment="1">
      <alignment/>
    </xf>
    <xf numFmtId="43" fontId="0" fillId="0" borderId="12" xfId="33" applyFon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43" fontId="0" fillId="0" borderId="12" xfId="33" applyFont="1" applyBorder="1" applyAlignment="1">
      <alignment horizontal="center"/>
    </xf>
    <xf numFmtId="43" fontId="0" fillId="0" borderId="12" xfId="0" applyNumberFormat="1" applyFont="1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0" fillId="0" borderId="12" xfId="33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43" fontId="1" fillId="0" borderId="18" xfId="0" applyNumberFormat="1" applyFont="1" applyBorder="1" applyAlignment="1">
      <alignment/>
    </xf>
    <xf numFmtId="43" fontId="1" fillId="0" borderId="18" xfId="33" applyFont="1" applyBorder="1" applyAlignment="1">
      <alignment/>
    </xf>
    <xf numFmtId="0" fontId="0" fillId="0" borderId="17" xfId="0" applyBorder="1" applyAlignment="1">
      <alignment/>
    </xf>
    <xf numFmtId="175" fontId="1" fillId="0" borderId="13" xfId="0" applyNumberFormat="1" applyFont="1" applyBorder="1" applyAlignment="1">
      <alignment/>
    </xf>
    <xf numFmtId="43" fontId="1" fillId="0" borderId="13" xfId="33" applyFont="1" applyBorder="1" applyAlignment="1">
      <alignment/>
    </xf>
    <xf numFmtId="0" fontId="0" fillId="0" borderId="12" xfId="0" applyFont="1" applyBorder="1" applyAlignment="1">
      <alignment/>
    </xf>
    <xf numFmtId="43" fontId="1" fillId="0" borderId="14" xfId="33" applyFont="1" applyBorder="1" applyAlignment="1">
      <alignment/>
    </xf>
    <xf numFmtId="0" fontId="0" fillId="0" borderId="0" xfId="0" applyAlignment="1">
      <alignment horizontal="center"/>
    </xf>
    <xf numFmtId="175" fontId="1" fillId="0" borderId="11" xfId="33" applyNumberFormat="1" applyFont="1" applyBorder="1" applyAlignment="1">
      <alignment/>
    </xf>
    <xf numFmtId="43" fontId="0" fillId="0" borderId="14" xfId="0" applyNumberFormat="1" applyBorder="1" applyAlignment="1">
      <alignment horizontal="center"/>
    </xf>
    <xf numFmtId="43" fontId="3" fillId="0" borderId="12" xfId="33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3" fontId="1" fillId="0" borderId="19" xfId="33" applyFont="1" applyBorder="1" applyAlignment="1">
      <alignment/>
    </xf>
    <xf numFmtId="43" fontId="0" fillId="0" borderId="15" xfId="33" applyBorder="1" applyAlignment="1">
      <alignment/>
    </xf>
    <xf numFmtId="43" fontId="0" fillId="0" borderId="15" xfId="33" applyFont="1" applyBorder="1" applyAlignment="1">
      <alignment horizontal="center"/>
    </xf>
    <xf numFmtId="43" fontId="0" fillId="0" borderId="20" xfId="33" applyBorder="1" applyAlignment="1">
      <alignment/>
    </xf>
    <xf numFmtId="43" fontId="0" fillId="0" borderId="21" xfId="33" applyBorder="1" applyAlignment="1">
      <alignment horizontal="center"/>
    </xf>
    <xf numFmtId="43" fontId="0" fillId="0" borderId="19" xfId="33" applyBorder="1" applyAlignment="1">
      <alignment/>
    </xf>
    <xf numFmtId="43" fontId="1" fillId="0" borderId="19" xfId="33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3" fontId="0" fillId="0" borderId="21" xfId="33" applyBorder="1" applyAlignment="1">
      <alignment/>
    </xf>
    <xf numFmtId="43" fontId="1" fillId="0" borderId="15" xfId="33" applyFont="1" applyBorder="1" applyAlignment="1">
      <alignment/>
    </xf>
    <xf numFmtId="43" fontId="0" fillId="0" borderId="15" xfId="33" applyBorder="1" applyAlignment="1">
      <alignment horizontal="center"/>
    </xf>
    <xf numFmtId="43" fontId="3" fillId="0" borderId="15" xfId="33" applyFont="1" applyBorder="1" applyAlignment="1">
      <alignment/>
    </xf>
    <xf numFmtId="43" fontId="0" fillId="0" borderId="15" xfId="33" applyFont="1" applyBorder="1" applyAlignment="1">
      <alignment/>
    </xf>
    <xf numFmtId="43" fontId="0" fillId="0" borderId="20" xfId="33" applyFont="1" applyBorder="1" applyAlignment="1">
      <alignment horizontal="center"/>
    </xf>
    <xf numFmtId="43" fontId="0" fillId="0" borderId="21" xfId="33" applyFont="1" applyBorder="1" applyAlignment="1">
      <alignment horizontal="center"/>
    </xf>
    <xf numFmtId="49" fontId="0" fillId="0" borderId="0" xfId="0" applyNumberFormat="1" applyBorder="1" applyAlignment="1">
      <alignment/>
    </xf>
    <xf numFmtId="43" fontId="1" fillId="0" borderId="22" xfId="33" applyFont="1" applyBorder="1" applyAlignment="1">
      <alignment/>
    </xf>
    <xf numFmtId="43" fontId="0" fillId="0" borderId="22" xfId="33" applyBorder="1" applyAlignment="1">
      <alignment/>
    </xf>
    <xf numFmtId="43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</xdr:row>
      <xdr:rowOff>257175</xdr:rowOff>
    </xdr:from>
    <xdr:to>
      <xdr:col>2</xdr:col>
      <xdr:colOff>523875</xdr:colOff>
      <xdr:row>5</xdr:row>
      <xdr:rowOff>257175</xdr:rowOff>
    </xdr:to>
    <xdr:sp>
      <xdr:nvSpPr>
        <xdr:cNvPr id="1" name="Line 1"/>
        <xdr:cNvSpPr>
          <a:spLocks/>
        </xdr:cNvSpPr>
      </xdr:nvSpPr>
      <xdr:spPr>
        <a:xfrm>
          <a:off x="439102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190500</xdr:colOff>
      <xdr:row>212</xdr:row>
      <xdr:rowOff>0</xdr:rowOff>
    </xdr:from>
    <xdr:to>
      <xdr:col>10</xdr:col>
      <xdr:colOff>190500</xdr:colOff>
      <xdr:row>242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0" y="58445400"/>
          <a:ext cx="0" cy="828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257175</xdr:rowOff>
    </xdr:from>
    <xdr:to>
      <xdr:col>3</xdr:col>
      <xdr:colOff>523875</xdr:colOff>
      <xdr:row>5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47687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7</xdr:row>
      <xdr:rowOff>247650</xdr:rowOff>
    </xdr:from>
    <xdr:to>
      <xdr:col>8</xdr:col>
      <xdr:colOff>342900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696450" y="2133600"/>
          <a:ext cx="0" cy="886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</xdr:row>
      <xdr:rowOff>257175</xdr:rowOff>
    </xdr:from>
    <xdr:to>
      <xdr:col>2</xdr:col>
      <xdr:colOff>523875</xdr:colOff>
      <xdr:row>5</xdr:row>
      <xdr:rowOff>257175</xdr:rowOff>
    </xdr:to>
    <xdr:sp>
      <xdr:nvSpPr>
        <xdr:cNvPr id="1" name="Line 1"/>
        <xdr:cNvSpPr>
          <a:spLocks/>
        </xdr:cNvSpPr>
      </xdr:nvSpPr>
      <xdr:spPr>
        <a:xfrm>
          <a:off x="439102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190500</xdr:colOff>
      <xdr:row>212</xdr:row>
      <xdr:rowOff>0</xdr:rowOff>
    </xdr:from>
    <xdr:to>
      <xdr:col>9</xdr:col>
      <xdr:colOff>190500</xdr:colOff>
      <xdr:row>243</xdr:row>
      <xdr:rowOff>0</xdr:rowOff>
    </xdr:to>
    <xdr:sp>
      <xdr:nvSpPr>
        <xdr:cNvPr id="2" name="Line 2"/>
        <xdr:cNvSpPr>
          <a:spLocks/>
        </xdr:cNvSpPr>
      </xdr:nvSpPr>
      <xdr:spPr>
        <a:xfrm>
          <a:off x="9801225" y="58445400"/>
          <a:ext cx="0" cy="856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257175</xdr:rowOff>
    </xdr:from>
    <xdr:to>
      <xdr:col>3</xdr:col>
      <xdr:colOff>523875</xdr:colOff>
      <xdr:row>5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47687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</xdr:row>
      <xdr:rowOff>257175</xdr:rowOff>
    </xdr:from>
    <xdr:to>
      <xdr:col>2</xdr:col>
      <xdr:colOff>523875</xdr:colOff>
      <xdr:row>5</xdr:row>
      <xdr:rowOff>257175</xdr:rowOff>
    </xdr:to>
    <xdr:sp>
      <xdr:nvSpPr>
        <xdr:cNvPr id="1" name="Line 1"/>
        <xdr:cNvSpPr>
          <a:spLocks/>
        </xdr:cNvSpPr>
      </xdr:nvSpPr>
      <xdr:spPr>
        <a:xfrm>
          <a:off x="439102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257175</xdr:rowOff>
    </xdr:from>
    <xdr:to>
      <xdr:col>3</xdr:col>
      <xdr:colOff>523875</xdr:colOff>
      <xdr:row>5</xdr:row>
      <xdr:rowOff>257175</xdr:rowOff>
    </xdr:to>
    <xdr:sp>
      <xdr:nvSpPr>
        <xdr:cNvPr id="2" name="Line 3"/>
        <xdr:cNvSpPr>
          <a:spLocks/>
        </xdr:cNvSpPr>
      </xdr:nvSpPr>
      <xdr:spPr>
        <a:xfrm>
          <a:off x="547687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16" sqref="I16"/>
    </sheetView>
  </sheetViews>
  <sheetFormatPr defaultColWidth="9.140625" defaultRowHeight="21.75"/>
  <cols>
    <col min="1" max="10" width="9.140625" style="89" customWidth="1"/>
    <col min="11" max="11" width="5.8515625" style="89" customWidth="1"/>
    <col min="12" max="16384" width="9.140625" style="89" customWidth="1"/>
  </cols>
  <sheetData>
    <row r="1" spans="1:11" ht="24">
      <c r="A1" s="102" t="s">
        <v>351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4">
      <c r="A2" s="102" t="s">
        <v>352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4" spans="1:11" ht="24">
      <c r="A4" s="102" t="s">
        <v>353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6" ht="24">
      <c r="C6" s="89" t="s">
        <v>354</v>
      </c>
    </row>
    <row r="7" ht="24">
      <c r="A7" s="89" t="s">
        <v>355</v>
      </c>
    </row>
    <row r="8" ht="24">
      <c r="A8" s="89" t="s">
        <v>356</v>
      </c>
    </row>
    <row r="9" ht="24">
      <c r="A9" s="89" t="s">
        <v>357</v>
      </c>
    </row>
    <row r="10" ht="24">
      <c r="A10" s="89" t="s">
        <v>358</v>
      </c>
    </row>
    <row r="12" ht="24">
      <c r="C12" s="89" t="s">
        <v>359</v>
      </c>
    </row>
    <row r="13" ht="24">
      <c r="A13" s="89" t="s">
        <v>360</v>
      </c>
    </row>
    <row r="15" ht="24">
      <c r="C15" s="89" t="s">
        <v>361</v>
      </c>
    </row>
    <row r="18" spans="6:9" ht="24">
      <c r="F18" s="102" t="s">
        <v>362</v>
      </c>
      <c r="G18" s="102"/>
      <c r="H18" s="102"/>
      <c r="I18" s="102"/>
    </row>
    <row r="19" spans="6:9" ht="24">
      <c r="F19" s="102" t="s">
        <v>363</v>
      </c>
      <c r="G19" s="102"/>
      <c r="H19" s="102"/>
      <c r="I19" s="102"/>
    </row>
  </sheetData>
  <sheetProtection/>
  <mergeCells count="5">
    <mergeCell ref="F19:I19"/>
    <mergeCell ref="A1:K1"/>
    <mergeCell ref="A2:K2"/>
    <mergeCell ref="A4:K4"/>
    <mergeCell ref="F18:I18"/>
  </mergeCells>
  <printOptions/>
  <pageMargins left="0.9448818897637796" right="0.4724409448818898" top="0.984251968503937" bottom="0.7874015748031497" header="0.5118110236220472" footer="0.511811023622047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4"/>
  <sheetViews>
    <sheetView view="pageBreakPreview" zoomScale="80" zoomScaleSheetLayoutView="80" zoomScalePageLayoutView="0" workbookViewId="0" topLeftCell="A264">
      <selection activeCell="F80" sqref="F80"/>
    </sheetView>
  </sheetViews>
  <sheetFormatPr defaultColWidth="9.140625" defaultRowHeight="21.75"/>
  <cols>
    <col min="1" max="1" width="49.57421875" style="0" customWidth="1"/>
    <col min="2" max="2" width="8.421875" style="0" customWidth="1"/>
    <col min="3" max="3" width="16.28125" style="0" customWidth="1"/>
    <col min="4" max="4" width="15.57421875" style="0" customWidth="1"/>
    <col min="5" max="5" width="17.7109375" style="0" customWidth="1"/>
    <col min="6" max="6" width="14.421875" style="22" customWidth="1"/>
  </cols>
  <sheetData>
    <row r="1" spans="1:6" s="1" customFormat="1" ht="21">
      <c r="A1" s="103" t="s">
        <v>0</v>
      </c>
      <c r="B1" s="103"/>
      <c r="C1" s="103"/>
      <c r="D1" s="103"/>
      <c r="E1" s="103"/>
      <c r="F1" s="103"/>
    </row>
    <row r="2" spans="1:6" s="1" customFormat="1" ht="21">
      <c r="A2" s="103" t="s">
        <v>1</v>
      </c>
      <c r="B2" s="103"/>
      <c r="C2" s="103"/>
      <c r="D2" s="103"/>
      <c r="E2" s="103"/>
      <c r="F2" s="103"/>
    </row>
    <row r="3" spans="1:6" s="1" customFormat="1" ht="21">
      <c r="A3" s="104" t="s">
        <v>2</v>
      </c>
      <c r="B3" s="104"/>
      <c r="C3" s="104"/>
      <c r="D3" s="104"/>
      <c r="E3" s="104"/>
      <c r="F3" s="105"/>
    </row>
    <row r="4" spans="1:6" s="1" customFormat="1" ht="21">
      <c r="A4" s="2"/>
      <c r="B4" s="2"/>
      <c r="C4" s="2"/>
      <c r="D4" s="2"/>
      <c r="E4" s="2"/>
      <c r="F4" s="88"/>
    </row>
    <row r="5" spans="1:6" s="1" customFormat="1" ht="21">
      <c r="A5" s="3" t="s">
        <v>3</v>
      </c>
      <c r="B5" s="3" t="s">
        <v>4</v>
      </c>
      <c r="C5" s="3" t="s">
        <v>5</v>
      </c>
      <c r="D5" s="3" t="s">
        <v>6</v>
      </c>
      <c r="E5" s="80" t="s">
        <v>7</v>
      </c>
      <c r="F5" s="88"/>
    </row>
    <row r="6" spans="1:5" ht="21.75">
      <c r="A6" s="4" t="s">
        <v>8</v>
      </c>
      <c r="B6" s="5"/>
      <c r="C6" s="6"/>
      <c r="D6" s="6"/>
      <c r="E6" s="90"/>
    </row>
    <row r="7" spans="1:5" ht="21.75">
      <c r="A7" s="4" t="s">
        <v>9</v>
      </c>
      <c r="B7" s="8"/>
      <c r="C7" s="9">
        <f>C8</f>
        <v>2226500.83</v>
      </c>
      <c r="D7" s="9">
        <f>D8</f>
        <v>2226500.83</v>
      </c>
      <c r="E7" s="81">
        <v>15933000</v>
      </c>
    </row>
    <row r="8" spans="1:5" ht="21.75">
      <c r="A8" s="4" t="s">
        <v>10</v>
      </c>
      <c r="B8" s="10" t="s">
        <v>11</v>
      </c>
      <c r="C8" s="9">
        <f>C9+C10+C11+C12+C13+C14+C15+C19+C20+C22</f>
        <v>2226500.83</v>
      </c>
      <c r="D8" s="9">
        <f>C8</f>
        <v>2226500.83</v>
      </c>
      <c r="E8" s="81">
        <f>E9+E10+E11+E12+E13+E14+E15+E16+E17+E19+E20+E21+E22</f>
        <v>15933000</v>
      </c>
    </row>
    <row r="9" spans="1:5" ht="21.75">
      <c r="A9" s="7" t="s">
        <v>12</v>
      </c>
      <c r="B9" s="10" t="s">
        <v>13</v>
      </c>
      <c r="C9" s="11">
        <v>26417.83</v>
      </c>
      <c r="D9" s="11">
        <v>26417.83</v>
      </c>
      <c r="E9" s="82">
        <v>75000</v>
      </c>
    </row>
    <row r="10" spans="1:5" ht="21.75">
      <c r="A10" s="7" t="s">
        <v>14</v>
      </c>
      <c r="B10" s="10" t="s">
        <v>15</v>
      </c>
      <c r="C10" s="11">
        <v>2133</v>
      </c>
      <c r="D10" s="11">
        <v>2133</v>
      </c>
      <c r="E10" s="82">
        <v>800000</v>
      </c>
    </row>
    <row r="11" spans="1:5" ht="21.75">
      <c r="A11" s="7" t="s">
        <v>16</v>
      </c>
      <c r="B11" s="10" t="s">
        <v>17</v>
      </c>
      <c r="C11" s="11">
        <v>200</v>
      </c>
      <c r="D11" s="11">
        <v>200</v>
      </c>
      <c r="E11" s="82">
        <v>90000</v>
      </c>
    </row>
    <row r="12" spans="1:5" ht="21.75">
      <c r="A12" s="7" t="s">
        <v>18</v>
      </c>
      <c r="B12" s="10" t="s">
        <v>19</v>
      </c>
      <c r="C12" s="11">
        <v>3712</v>
      </c>
      <c r="D12" s="11">
        <v>3712</v>
      </c>
      <c r="E12" s="82">
        <v>20000</v>
      </c>
    </row>
    <row r="13" spans="1:5" ht="21.75">
      <c r="A13" s="7" t="s">
        <v>20</v>
      </c>
      <c r="B13" s="10" t="s">
        <v>21</v>
      </c>
      <c r="C13" s="11">
        <v>95536.38</v>
      </c>
      <c r="D13" s="11">
        <v>95536.38</v>
      </c>
      <c r="E13" s="82">
        <v>500000</v>
      </c>
    </row>
    <row r="14" spans="1:5" ht="21.75">
      <c r="A14" s="7" t="s">
        <v>22</v>
      </c>
      <c r="B14" s="10" t="s">
        <v>23</v>
      </c>
      <c r="C14" s="11">
        <v>986066.41</v>
      </c>
      <c r="D14" s="11">
        <v>986066.41</v>
      </c>
      <c r="E14" s="82">
        <v>2228000</v>
      </c>
    </row>
    <row r="15" spans="1:5" ht="21.75">
      <c r="A15" s="7" t="s">
        <v>24</v>
      </c>
      <c r="B15" s="10" t="s">
        <v>25</v>
      </c>
      <c r="C15" s="11">
        <v>195112</v>
      </c>
      <c r="D15" s="11">
        <v>195112</v>
      </c>
      <c r="E15" s="82">
        <v>5000000</v>
      </c>
    </row>
    <row r="16" spans="1:5" ht="21.75">
      <c r="A16" s="7" t="s">
        <v>26</v>
      </c>
      <c r="B16" s="10" t="s">
        <v>27</v>
      </c>
      <c r="C16" s="12" t="s">
        <v>28</v>
      </c>
      <c r="D16" s="12" t="s">
        <v>28</v>
      </c>
      <c r="E16" s="82">
        <v>5000</v>
      </c>
    </row>
    <row r="17" spans="1:5" ht="21.75">
      <c r="A17" s="7" t="s">
        <v>29</v>
      </c>
      <c r="B17" s="10" t="s">
        <v>30</v>
      </c>
      <c r="C17" s="12" t="s">
        <v>28</v>
      </c>
      <c r="D17" s="12" t="s">
        <v>28</v>
      </c>
      <c r="E17" s="82">
        <v>15000</v>
      </c>
    </row>
    <row r="18" spans="1:5" ht="21.75">
      <c r="A18" s="7" t="s">
        <v>31</v>
      </c>
      <c r="B18" s="10" t="s">
        <v>32</v>
      </c>
      <c r="C18" s="12" t="s">
        <v>28</v>
      </c>
      <c r="D18" s="12" t="s">
        <v>28</v>
      </c>
      <c r="E18" s="83" t="s">
        <v>28</v>
      </c>
    </row>
    <row r="19" spans="1:5" ht="21.75">
      <c r="A19" s="7" t="s">
        <v>33</v>
      </c>
      <c r="B19" s="10" t="s">
        <v>34</v>
      </c>
      <c r="C19" s="11">
        <v>901568.64</v>
      </c>
      <c r="D19" s="11">
        <v>901568.64</v>
      </c>
      <c r="E19" s="82">
        <v>7000000</v>
      </c>
    </row>
    <row r="20" spans="1:5" ht="21.75">
      <c r="A20" s="7" t="s">
        <v>35</v>
      </c>
      <c r="B20" s="10" t="s">
        <v>36</v>
      </c>
      <c r="C20" s="11">
        <v>7427.5</v>
      </c>
      <c r="D20" s="11">
        <v>7427.5</v>
      </c>
      <c r="E20" s="82">
        <v>80000</v>
      </c>
    </row>
    <row r="21" spans="1:5" ht="21.75">
      <c r="A21" s="7" t="s">
        <v>37</v>
      </c>
      <c r="B21" s="10" t="s">
        <v>38</v>
      </c>
      <c r="C21" s="12" t="s">
        <v>28</v>
      </c>
      <c r="D21" s="12" t="s">
        <v>28</v>
      </c>
      <c r="E21" s="82">
        <v>20000</v>
      </c>
    </row>
    <row r="22" spans="1:5" ht="21.75">
      <c r="A22" s="7" t="s">
        <v>39</v>
      </c>
      <c r="B22" s="10" t="s">
        <v>40</v>
      </c>
      <c r="C22" s="13">
        <v>8327.07</v>
      </c>
      <c r="D22" s="13">
        <v>8327.07</v>
      </c>
      <c r="E22" s="82">
        <v>100000</v>
      </c>
    </row>
    <row r="23" spans="1:5" ht="21.75">
      <c r="A23" s="4" t="s">
        <v>41</v>
      </c>
      <c r="B23" s="10"/>
      <c r="C23" s="13"/>
      <c r="D23" s="13"/>
      <c r="E23" s="86"/>
    </row>
    <row r="24" spans="1:5" ht="21.75">
      <c r="A24" s="4" t="s">
        <v>42</v>
      </c>
      <c r="B24" s="10" t="s">
        <v>43</v>
      </c>
      <c r="C24" s="9">
        <f>C26+C27+C29+C30+C31+C34</f>
        <v>366322</v>
      </c>
      <c r="D24" s="9">
        <f>C24</f>
        <v>366322</v>
      </c>
      <c r="E24" s="81">
        <f>E26+E27+E28+E29+E30+E31+E32+E33+E34+E40</f>
        <v>543000</v>
      </c>
    </row>
    <row r="25" spans="1:5" ht="21.75">
      <c r="A25" s="7" t="s">
        <v>44</v>
      </c>
      <c r="B25" s="10"/>
      <c r="C25" s="11"/>
      <c r="D25" s="11"/>
      <c r="E25" s="82"/>
    </row>
    <row r="26" spans="1:5" ht="21.75">
      <c r="A26" s="7" t="s">
        <v>45</v>
      </c>
      <c r="B26" s="10" t="s">
        <v>46</v>
      </c>
      <c r="C26" s="11">
        <v>6813</v>
      </c>
      <c r="D26" s="11">
        <v>6813</v>
      </c>
      <c r="E26" s="82">
        <v>40000</v>
      </c>
    </row>
    <row r="27" spans="1:5" ht="21.75">
      <c r="A27" s="7" t="s">
        <v>47</v>
      </c>
      <c r="B27" s="10" t="s">
        <v>48</v>
      </c>
      <c r="C27" s="11">
        <v>305160</v>
      </c>
      <c r="D27" s="11">
        <v>305160</v>
      </c>
      <c r="E27" s="82">
        <v>200000</v>
      </c>
    </row>
    <row r="28" spans="1:5" ht="21.75">
      <c r="A28" s="7" t="s">
        <v>49</v>
      </c>
      <c r="B28" s="10" t="s">
        <v>50</v>
      </c>
      <c r="C28" s="12" t="s">
        <v>28</v>
      </c>
      <c r="D28" s="12" t="s">
        <v>28</v>
      </c>
      <c r="E28" s="82">
        <v>2000</v>
      </c>
    </row>
    <row r="29" spans="1:5" ht="21.75">
      <c r="A29" s="7" t="s">
        <v>51</v>
      </c>
      <c r="B29" s="10" t="s">
        <v>52</v>
      </c>
      <c r="C29" s="11">
        <v>520</v>
      </c>
      <c r="D29" s="11">
        <v>520</v>
      </c>
      <c r="E29" s="82">
        <v>1500</v>
      </c>
    </row>
    <row r="30" spans="1:5" ht="21.75">
      <c r="A30" s="7" t="s">
        <v>53</v>
      </c>
      <c r="B30" s="10" t="s">
        <v>54</v>
      </c>
      <c r="C30" s="11">
        <v>6319</v>
      </c>
      <c r="D30" s="11">
        <v>6319</v>
      </c>
      <c r="E30" s="82">
        <v>4500</v>
      </c>
    </row>
    <row r="31" spans="1:5" ht="21.75">
      <c r="A31" s="7" t="s">
        <v>55</v>
      </c>
      <c r="B31" s="10" t="s">
        <v>56</v>
      </c>
      <c r="C31" s="11">
        <v>45010</v>
      </c>
      <c r="D31" s="11">
        <v>45010</v>
      </c>
      <c r="E31" s="82">
        <v>200000</v>
      </c>
    </row>
    <row r="32" spans="1:5" ht="21.75">
      <c r="A32" s="7" t="s">
        <v>57</v>
      </c>
      <c r="B32" s="10" t="s">
        <v>58</v>
      </c>
      <c r="C32" s="12" t="s">
        <v>28</v>
      </c>
      <c r="D32" s="12" t="s">
        <v>28</v>
      </c>
      <c r="E32" s="82">
        <v>20000</v>
      </c>
    </row>
    <row r="33" spans="1:5" ht="21.75">
      <c r="A33" s="7" t="s">
        <v>59</v>
      </c>
      <c r="B33" s="10" t="s">
        <v>60</v>
      </c>
      <c r="C33" s="8" t="s">
        <v>28</v>
      </c>
      <c r="D33" s="8" t="s">
        <v>28</v>
      </c>
      <c r="E33" s="82">
        <v>50000</v>
      </c>
    </row>
    <row r="34" spans="1:5" ht="21.75">
      <c r="A34" s="7" t="s">
        <v>61</v>
      </c>
      <c r="B34" s="10" t="s">
        <v>62</v>
      </c>
      <c r="C34" s="11">
        <v>2500</v>
      </c>
      <c r="D34" s="11">
        <v>2500</v>
      </c>
      <c r="E34" s="82">
        <v>5000</v>
      </c>
    </row>
    <row r="35" spans="1:5" ht="21.75">
      <c r="A35" s="7"/>
      <c r="B35" s="10"/>
      <c r="C35" s="11"/>
      <c r="D35" s="11"/>
      <c r="E35" s="82"/>
    </row>
    <row r="36" spans="1:5" ht="21.75">
      <c r="A36" s="7"/>
      <c r="B36" s="10"/>
      <c r="C36" s="11"/>
      <c r="D36" s="11"/>
      <c r="E36" s="82"/>
    </row>
    <row r="37" spans="1:5" ht="21.75">
      <c r="A37" s="7"/>
      <c r="B37" s="10"/>
      <c r="C37" s="11"/>
      <c r="D37" s="11"/>
      <c r="E37" s="82"/>
    </row>
    <row r="38" spans="1:5" ht="21.75">
      <c r="A38" s="15" t="s">
        <v>63</v>
      </c>
      <c r="B38" s="16"/>
      <c r="C38" s="17">
        <f>SUM(C26:C37)</f>
        <v>366322</v>
      </c>
      <c r="D38" s="17">
        <f>SUM(D26:D37)</f>
        <v>366322</v>
      </c>
      <c r="E38" s="84">
        <f>SUM(E26:E37)</f>
        <v>523000</v>
      </c>
    </row>
    <row r="39" spans="1:6" ht="21.75">
      <c r="A39" s="5" t="s">
        <v>64</v>
      </c>
      <c r="B39" s="5"/>
      <c r="C39" s="18">
        <f>C38</f>
        <v>366322</v>
      </c>
      <c r="D39" s="18">
        <f>D38</f>
        <v>366322</v>
      </c>
      <c r="E39" s="85">
        <f>E38</f>
        <v>523000</v>
      </c>
      <c r="F39" s="20"/>
    </row>
    <row r="40" spans="1:5" ht="21.75">
      <c r="A40" s="7" t="s">
        <v>65</v>
      </c>
      <c r="B40" s="10" t="s">
        <v>66</v>
      </c>
      <c r="C40" s="8" t="s">
        <v>28</v>
      </c>
      <c r="D40" s="8" t="s">
        <v>28</v>
      </c>
      <c r="E40" s="82">
        <v>20000</v>
      </c>
    </row>
    <row r="41" spans="1:5" ht="21.75">
      <c r="A41" s="4" t="s">
        <v>67</v>
      </c>
      <c r="B41" s="10" t="s">
        <v>68</v>
      </c>
      <c r="C41" s="21">
        <f>C42</f>
        <v>3066.29</v>
      </c>
      <c r="D41" s="21">
        <f>C41</f>
        <v>3066.29</v>
      </c>
      <c r="E41" s="81">
        <f>E42+E43</f>
        <v>50000</v>
      </c>
    </row>
    <row r="42" spans="1:5" ht="21.75">
      <c r="A42" s="7" t="s">
        <v>69</v>
      </c>
      <c r="B42" s="10" t="s">
        <v>70</v>
      </c>
      <c r="C42" s="11">
        <v>3066.29</v>
      </c>
      <c r="D42" s="11">
        <v>3066.29</v>
      </c>
      <c r="E42" s="82">
        <v>45000</v>
      </c>
    </row>
    <row r="43" spans="1:5" ht="21.75">
      <c r="A43" s="7" t="s">
        <v>71</v>
      </c>
      <c r="B43" s="10" t="s">
        <v>72</v>
      </c>
      <c r="C43" s="12" t="s">
        <v>28</v>
      </c>
      <c r="D43" s="12" t="s">
        <v>28</v>
      </c>
      <c r="E43" s="82">
        <v>5000</v>
      </c>
    </row>
    <row r="44" spans="1:5" ht="21.75">
      <c r="A44" s="4" t="s">
        <v>73</v>
      </c>
      <c r="B44" s="10" t="s">
        <v>74</v>
      </c>
      <c r="C44" s="9">
        <f>C45</f>
        <v>51000</v>
      </c>
      <c r="D44" s="9">
        <f>C44</f>
        <v>51000</v>
      </c>
      <c r="E44" s="81">
        <f>E45</f>
        <v>204000</v>
      </c>
    </row>
    <row r="45" spans="1:5" ht="21.75">
      <c r="A45" s="7" t="s">
        <v>75</v>
      </c>
      <c r="B45" s="10" t="s">
        <v>76</v>
      </c>
      <c r="C45" s="14">
        <v>51000</v>
      </c>
      <c r="D45" s="14">
        <v>51000</v>
      </c>
      <c r="E45" s="86">
        <v>204000</v>
      </c>
    </row>
    <row r="46" spans="1:5" ht="21.75">
      <c r="A46" s="4" t="s">
        <v>77</v>
      </c>
      <c r="B46" s="10" t="s">
        <v>78</v>
      </c>
      <c r="C46" s="9">
        <f>C47</f>
        <v>11500</v>
      </c>
      <c r="D46" s="9">
        <f>C46</f>
        <v>11500</v>
      </c>
      <c r="E46" s="81">
        <f>E47+E48</f>
        <v>255000</v>
      </c>
    </row>
    <row r="47" spans="1:5" ht="21.75">
      <c r="A47" s="7" t="s">
        <v>79</v>
      </c>
      <c r="B47" s="10" t="s">
        <v>80</v>
      </c>
      <c r="C47" s="11">
        <v>11500</v>
      </c>
      <c r="D47" s="11">
        <v>11500</v>
      </c>
      <c r="E47" s="82">
        <v>250000</v>
      </c>
    </row>
    <row r="48" spans="1:5" ht="21.75">
      <c r="A48" s="7" t="s">
        <v>81</v>
      </c>
      <c r="B48" s="10" t="s">
        <v>82</v>
      </c>
      <c r="C48" s="11"/>
      <c r="D48" s="11"/>
      <c r="E48" s="82">
        <v>5000</v>
      </c>
    </row>
    <row r="49" spans="1:5" ht="21.75">
      <c r="A49" s="4" t="s">
        <v>83</v>
      </c>
      <c r="B49" s="10" t="s">
        <v>84</v>
      </c>
      <c r="C49" s="24" t="s">
        <v>28</v>
      </c>
      <c r="D49" s="24" t="s">
        <v>28</v>
      </c>
      <c r="E49" s="81">
        <v>10000</v>
      </c>
    </row>
    <row r="50" spans="1:5" ht="21.75">
      <c r="A50" s="7" t="s">
        <v>85</v>
      </c>
      <c r="B50" s="10" t="s">
        <v>86</v>
      </c>
      <c r="C50" s="24" t="s">
        <v>28</v>
      </c>
      <c r="D50" s="24" t="s">
        <v>28</v>
      </c>
      <c r="E50" s="82">
        <v>10000</v>
      </c>
    </row>
    <row r="51" spans="1:5" ht="21.75">
      <c r="A51" s="4" t="s">
        <v>87</v>
      </c>
      <c r="B51" s="10"/>
      <c r="C51" s="9">
        <f>C52</f>
        <v>2338071</v>
      </c>
      <c r="D51" s="9">
        <f>C51</f>
        <v>2338071</v>
      </c>
      <c r="E51" s="81">
        <f>E52+E53</f>
        <v>7005000</v>
      </c>
    </row>
    <row r="52" spans="1:5" ht="21.75">
      <c r="A52" s="7" t="s">
        <v>88</v>
      </c>
      <c r="B52" s="10" t="s">
        <v>89</v>
      </c>
      <c r="C52" s="11">
        <v>2338071</v>
      </c>
      <c r="D52" s="11">
        <v>2338071</v>
      </c>
      <c r="E52" s="82">
        <v>7000000</v>
      </c>
    </row>
    <row r="53" spans="1:5" ht="21.75">
      <c r="A53" s="7" t="s">
        <v>90</v>
      </c>
      <c r="B53" s="10" t="s">
        <v>91</v>
      </c>
      <c r="C53" s="11"/>
      <c r="D53" s="11"/>
      <c r="E53" s="82">
        <v>5000</v>
      </c>
    </row>
    <row r="54" spans="1:5" ht="21.75">
      <c r="A54" s="7"/>
      <c r="B54" s="10"/>
      <c r="C54" s="11"/>
      <c r="D54" s="11"/>
      <c r="E54" s="82"/>
    </row>
    <row r="55" spans="1:5" ht="21.75">
      <c r="A55" s="25" t="s">
        <v>92</v>
      </c>
      <c r="B55" s="26"/>
      <c r="C55" s="27">
        <f>C51+C46+C44+C41+C24+C8</f>
        <v>4996460.12</v>
      </c>
      <c r="D55" s="27">
        <f>D51+D46+D44+D41+D24+D8</f>
        <v>4996460.12</v>
      </c>
      <c r="E55" s="87">
        <f>E51+E49+E46+E44+E41+E24+E8</f>
        <v>24000000</v>
      </c>
    </row>
    <row r="56" spans="1:5" ht="21.75">
      <c r="A56" s="28"/>
      <c r="B56" s="20"/>
      <c r="C56" s="29"/>
      <c r="D56" s="29"/>
      <c r="E56" s="29"/>
    </row>
    <row r="57" spans="1:5" ht="21.75">
      <c r="A57" s="28"/>
      <c r="B57" s="20"/>
      <c r="C57" s="29"/>
      <c r="D57" s="29"/>
      <c r="E57" s="29"/>
    </row>
    <row r="58" spans="1:5" ht="21.75">
      <c r="A58" s="28"/>
      <c r="B58" s="20"/>
      <c r="C58" s="29"/>
      <c r="D58" s="29"/>
      <c r="E58" s="29"/>
    </row>
    <row r="59" spans="1:5" ht="21.75">
      <c r="A59" s="28"/>
      <c r="B59" s="20"/>
      <c r="C59" s="29"/>
      <c r="D59" s="29"/>
      <c r="E59" s="29"/>
    </row>
    <row r="60" spans="1:5" ht="21.75">
      <c r="A60" s="28"/>
      <c r="B60" s="20"/>
      <c r="C60" s="29"/>
      <c r="D60" s="29"/>
      <c r="E60" s="29"/>
    </row>
    <row r="61" spans="1:5" ht="21.75">
      <c r="A61" s="28"/>
      <c r="B61" s="20"/>
      <c r="C61" s="29"/>
      <c r="D61" s="29"/>
      <c r="E61" s="29"/>
    </row>
    <row r="62" spans="1:5" ht="21.75">
      <c r="A62" s="28"/>
      <c r="B62" s="20"/>
      <c r="C62" s="29"/>
      <c r="D62" s="29"/>
      <c r="E62" s="29"/>
    </row>
    <row r="63" spans="1:5" ht="21.75">
      <c r="A63" s="28"/>
      <c r="B63" s="20"/>
      <c r="C63" s="29"/>
      <c r="D63" s="29"/>
      <c r="E63" s="29"/>
    </row>
    <row r="64" spans="1:5" ht="21.75">
      <c r="A64" s="28"/>
      <c r="B64" s="20"/>
      <c r="C64" s="29"/>
      <c r="D64" s="29"/>
      <c r="E64" s="29"/>
    </row>
    <row r="65" spans="1:5" ht="21.75">
      <c r="A65" s="28"/>
      <c r="B65" s="20"/>
      <c r="C65" s="29"/>
      <c r="D65" s="29"/>
      <c r="E65" s="29"/>
    </row>
    <row r="66" spans="1:5" ht="21.75">
      <c r="A66" s="28"/>
      <c r="B66" s="20"/>
      <c r="C66" s="29"/>
      <c r="D66" s="29"/>
      <c r="E66" s="29"/>
    </row>
    <row r="67" spans="1:5" ht="21.75">
      <c r="A67" s="28"/>
      <c r="B67" s="20"/>
      <c r="C67" s="29"/>
      <c r="D67" s="29"/>
      <c r="E67" s="29"/>
    </row>
    <row r="68" spans="1:5" ht="21.75">
      <c r="A68" s="28"/>
      <c r="B68" s="20"/>
      <c r="C68" s="29"/>
      <c r="D68" s="29"/>
      <c r="E68" s="29"/>
    </row>
    <row r="69" spans="1:5" ht="21.75">
      <c r="A69" s="28"/>
      <c r="B69" s="20"/>
      <c r="C69" s="29"/>
      <c r="D69" s="29"/>
      <c r="E69" s="29"/>
    </row>
    <row r="70" spans="1:5" ht="21.75">
      <c r="A70" s="28"/>
      <c r="B70" s="20"/>
      <c r="C70" s="29"/>
      <c r="D70" s="29"/>
      <c r="E70" s="29"/>
    </row>
    <row r="71" spans="1:5" ht="21.75">
      <c r="A71" s="28"/>
      <c r="B71" s="20"/>
      <c r="C71" s="29"/>
      <c r="D71" s="29"/>
      <c r="E71" s="29"/>
    </row>
    <row r="72" spans="1:5" ht="21.75">
      <c r="A72" s="28"/>
      <c r="B72" s="20"/>
      <c r="C72" s="29"/>
      <c r="D72" s="29"/>
      <c r="E72" s="29"/>
    </row>
    <row r="73" spans="1:5" ht="21.75">
      <c r="A73" s="28"/>
      <c r="B73" s="20"/>
      <c r="C73" s="29"/>
      <c r="D73" s="29"/>
      <c r="E73" s="29"/>
    </row>
    <row r="74" spans="1:5" ht="21.75">
      <c r="A74" s="28"/>
      <c r="B74" s="20"/>
      <c r="C74" s="29"/>
      <c r="D74" s="29"/>
      <c r="E74" s="29"/>
    </row>
    <row r="75" spans="1:5" ht="21.75">
      <c r="A75" s="28"/>
      <c r="B75" s="20"/>
      <c r="C75" s="29"/>
      <c r="D75" s="29"/>
      <c r="E75" s="29"/>
    </row>
    <row r="76" spans="1:5" ht="21.75">
      <c r="A76" s="28"/>
      <c r="B76" s="20"/>
      <c r="C76" s="29"/>
      <c r="D76" s="29"/>
      <c r="E76" s="29"/>
    </row>
    <row r="77" spans="1:6" s="1" customFormat="1" ht="21">
      <c r="A77" s="103" t="s">
        <v>0</v>
      </c>
      <c r="B77" s="103"/>
      <c r="C77" s="103"/>
      <c r="D77" s="103"/>
      <c r="E77" s="103"/>
      <c r="F77" s="103"/>
    </row>
    <row r="78" spans="1:6" s="1" customFormat="1" ht="21">
      <c r="A78" s="103" t="s">
        <v>1</v>
      </c>
      <c r="B78" s="103"/>
      <c r="C78" s="103"/>
      <c r="D78" s="103"/>
      <c r="E78" s="103"/>
      <c r="F78" s="103"/>
    </row>
    <row r="79" spans="1:6" s="1" customFormat="1" ht="21">
      <c r="A79" s="104" t="s">
        <v>2</v>
      </c>
      <c r="B79" s="104"/>
      <c r="C79" s="104"/>
      <c r="D79" s="104"/>
      <c r="E79" s="104"/>
      <c r="F79" s="105"/>
    </row>
    <row r="80" spans="1:5" ht="21.75">
      <c r="A80" s="28"/>
      <c r="B80" s="20"/>
      <c r="C80" s="29"/>
      <c r="D80" s="29"/>
      <c r="E80" s="29"/>
    </row>
    <row r="81" spans="1:6" s="1" customFormat="1" ht="21">
      <c r="A81" s="3" t="s">
        <v>3</v>
      </c>
      <c r="B81" s="3" t="s">
        <v>4</v>
      </c>
      <c r="C81" s="3" t="s">
        <v>93</v>
      </c>
      <c r="D81" s="3" t="s">
        <v>94</v>
      </c>
      <c r="E81" s="80" t="s">
        <v>7</v>
      </c>
      <c r="F81" s="88"/>
    </row>
    <row r="82" spans="1:5" ht="21.75">
      <c r="A82" s="30" t="s">
        <v>95</v>
      </c>
      <c r="B82" s="31"/>
      <c r="C82" s="31"/>
      <c r="D82" s="31"/>
      <c r="E82" s="90"/>
    </row>
    <row r="83" spans="1:5" ht="21.75">
      <c r="A83" s="4" t="s">
        <v>96</v>
      </c>
      <c r="B83" s="10"/>
      <c r="C83" s="21">
        <f>C90+C98+C100+C177+C185</f>
        <v>1654001.59</v>
      </c>
      <c r="D83" s="21">
        <f>C83</f>
        <v>1654001.59</v>
      </c>
      <c r="E83" s="81">
        <f>E84+E90+E98+E100+E177+E185</f>
        <v>12776561</v>
      </c>
    </row>
    <row r="84" spans="1:5" ht="21.75">
      <c r="A84" s="4" t="s">
        <v>97</v>
      </c>
      <c r="B84" s="10" t="s">
        <v>98</v>
      </c>
      <c r="C84" s="32" t="s">
        <v>28</v>
      </c>
      <c r="D84" s="32" t="s">
        <v>28</v>
      </c>
      <c r="E84" s="81">
        <v>1687681</v>
      </c>
    </row>
    <row r="85" spans="1:5" ht="21.75">
      <c r="A85" s="33" t="s">
        <v>99</v>
      </c>
      <c r="B85" s="10" t="s">
        <v>100</v>
      </c>
      <c r="C85" s="8" t="s">
        <v>28</v>
      </c>
      <c r="D85" s="8" t="s">
        <v>28</v>
      </c>
      <c r="E85" s="82">
        <v>240000</v>
      </c>
    </row>
    <row r="86" spans="1:5" ht="21.75">
      <c r="A86" s="7" t="s">
        <v>101</v>
      </c>
      <c r="B86" s="10" t="s">
        <v>102</v>
      </c>
      <c r="C86" s="8" t="s">
        <v>28</v>
      </c>
      <c r="D86" s="8" t="s">
        <v>28</v>
      </c>
      <c r="E86" s="82">
        <v>101520</v>
      </c>
    </row>
    <row r="87" spans="1:5" ht="21.75">
      <c r="A87" s="7" t="s">
        <v>103</v>
      </c>
      <c r="B87" s="10"/>
      <c r="C87" s="8" t="s">
        <v>28</v>
      </c>
      <c r="D87" s="8" t="s">
        <v>28</v>
      </c>
      <c r="E87" s="82">
        <v>120000</v>
      </c>
    </row>
    <row r="88" spans="1:5" ht="21.75">
      <c r="A88" s="7" t="s">
        <v>104</v>
      </c>
      <c r="B88" s="10"/>
      <c r="C88" s="8" t="s">
        <v>28</v>
      </c>
      <c r="D88" s="8" t="s">
        <v>28</v>
      </c>
      <c r="E88" s="82">
        <v>264000</v>
      </c>
    </row>
    <row r="89" spans="1:5" ht="21.75">
      <c r="A89" s="7" t="s">
        <v>105</v>
      </c>
      <c r="B89" s="10" t="s">
        <v>106</v>
      </c>
      <c r="C89" s="8" t="s">
        <v>28</v>
      </c>
      <c r="D89" s="8" t="s">
        <v>28</v>
      </c>
      <c r="E89" s="82">
        <v>962161</v>
      </c>
    </row>
    <row r="90" spans="1:5" ht="21.75">
      <c r="A90" s="4" t="s">
        <v>107</v>
      </c>
      <c r="B90" s="10"/>
      <c r="C90" s="21">
        <f>C91+C92+C93+C94+C95+C96+C97</f>
        <v>576396.13</v>
      </c>
      <c r="D90" s="21">
        <f>C90</f>
        <v>576396.13</v>
      </c>
      <c r="E90" s="81">
        <f>E91+E92+E93+E94+E95+E96</f>
        <v>2452280</v>
      </c>
    </row>
    <row r="91" spans="1:5" ht="21.75">
      <c r="A91" s="7" t="s">
        <v>108</v>
      </c>
      <c r="B91" s="10" t="s">
        <v>109</v>
      </c>
      <c r="C91" s="11">
        <v>354766.13</v>
      </c>
      <c r="D91" s="11">
        <f>111433.23+124482.9+118860</f>
        <v>354776.13</v>
      </c>
      <c r="E91" s="82">
        <v>1550520</v>
      </c>
    </row>
    <row r="92" spans="1:5" ht="21.75">
      <c r="A92" s="7" t="s">
        <v>110</v>
      </c>
      <c r="B92" s="10" t="s">
        <v>111</v>
      </c>
      <c r="C92" s="11">
        <v>36590</v>
      </c>
      <c r="D92" s="11">
        <v>36590</v>
      </c>
      <c r="E92" s="82">
        <v>197360</v>
      </c>
    </row>
    <row r="93" spans="1:5" ht="21.75">
      <c r="A93" s="7" t="s">
        <v>112</v>
      </c>
      <c r="B93" s="10" t="s">
        <v>113</v>
      </c>
      <c r="C93" s="11">
        <v>74400</v>
      </c>
      <c r="D93" s="11">
        <v>74400</v>
      </c>
      <c r="E93" s="82">
        <v>297600</v>
      </c>
    </row>
    <row r="94" spans="1:5" ht="21.75">
      <c r="A94" s="7" t="s">
        <v>114</v>
      </c>
      <c r="B94" s="10" t="s">
        <v>115</v>
      </c>
      <c r="C94" s="11">
        <v>18000</v>
      </c>
      <c r="D94" s="11">
        <v>18000</v>
      </c>
      <c r="E94" s="82">
        <v>72000</v>
      </c>
    </row>
    <row r="95" spans="1:5" ht="21.75">
      <c r="A95" s="7" t="s">
        <v>116</v>
      </c>
      <c r="B95" s="10" t="s">
        <v>117</v>
      </c>
      <c r="C95" s="11">
        <v>73140</v>
      </c>
      <c r="D95" s="11">
        <v>73140</v>
      </c>
      <c r="E95" s="82">
        <v>298800</v>
      </c>
    </row>
    <row r="96" spans="1:5" ht="21.75">
      <c r="A96" s="7" t="s">
        <v>118</v>
      </c>
      <c r="B96" s="10" t="s">
        <v>119</v>
      </c>
      <c r="C96" s="11">
        <v>9000</v>
      </c>
      <c r="D96" s="11">
        <v>9000</v>
      </c>
      <c r="E96" s="82">
        <v>36000</v>
      </c>
    </row>
    <row r="97" spans="1:5" ht="21.75">
      <c r="A97" s="7" t="s">
        <v>120</v>
      </c>
      <c r="B97" s="10" t="s">
        <v>121</v>
      </c>
      <c r="C97" s="11">
        <v>10500</v>
      </c>
      <c r="D97" s="11">
        <f>C97</f>
        <v>10500</v>
      </c>
      <c r="E97" s="82"/>
    </row>
    <row r="98" spans="1:5" ht="21.75">
      <c r="A98" s="4" t="s">
        <v>122</v>
      </c>
      <c r="B98" s="10" t="s">
        <v>123</v>
      </c>
      <c r="C98" s="9">
        <f>C99</f>
        <v>169200</v>
      </c>
      <c r="D98" s="9">
        <f>D99</f>
        <v>169200</v>
      </c>
      <c r="E98" s="81">
        <f>E99</f>
        <v>788960</v>
      </c>
    </row>
    <row r="99" spans="1:5" ht="21.75">
      <c r="A99" s="7" t="s">
        <v>124</v>
      </c>
      <c r="B99" s="10" t="s">
        <v>125</v>
      </c>
      <c r="C99" s="11">
        <v>169200</v>
      </c>
      <c r="D99" s="11">
        <v>169200</v>
      </c>
      <c r="E99" s="82">
        <v>788960</v>
      </c>
    </row>
    <row r="100" spans="1:5" ht="21.75">
      <c r="A100" s="4" t="s">
        <v>126</v>
      </c>
      <c r="B100" s="10"/>
      <c r="C100" s="9">
        <f>C101+C110+C157</f>
        <v>843395.91</v>
      </c>
      <c r="D100" s="9">
        <f>D101+D110+D157</f>
        <v>834685.91</v>
      </c>
      <c r="E100" s="81">
        <f>E101+E110+E157</f>
        <v>6976640</v>
      </c>
    </row>
    <row r="101" spans="1:5" ht="21.75">
      <c r="A101" s="4" t="s">
        <v>127</v>
      </c>
      <c r="B101" s="10" t="s">
        <v>128</v>
      </c>
      <c r="C101" s="34">
        <f>C102+C103+C104+C105+C108</f>
        <v>395788.71</v>
      </c>
      <c r="D101" s="34">
        <f>D102+D103+D104+D105+D108</f>
        <v>395788.71</v>
      </c>
      <c r="E101" s="91">
        <f>E102+E103+E104+E105+E106+E107+E108+E109</f>
        <v>1996840</v>
      </c>
    </row>
    <row r="102" spans="1:5" ht="21.75">
      <c r="A102" s="7" t="s">
        <v>129</v>
      </c>
      <c r="B102" s="10" t="s">
        <v>130</v>
      </c>
      <c r="C102" s="11">
        <v>366348.71</v>
      </c>
      <c r="D102" s="11">
        <v>366348.71</v>
      </c>
      <c r="E102" s="82">
        <v>1473840</v>
      </c>
    </row>
    <row r="103" spans="1:5" ht="21.75">
      <c r="A103" s="7" t="s">
        <v>131</v>
      </c>
      <c r="B103" s="10" t="s">
        <v>132</v>
      </c>
      <c r="C103" s="11">
        <v>5000</v>
      </c>
      <c r="D103" s="11">
        <v>5000</v>
      </c>
      <c r="E103" s="82">
        <v>52000</v>
      </c>
    </row>
    <row r="104" spans="1:5" ht="21.75">
      <c r="A104" s="7" t="s">
        <v>133</v>
      </c>
      <c r="B104" s="10" t="s">
        <v>134</v>
      </c>
      <c r="C104" s="11">
        <v>16150</v>
      </c>
      <c r="D104" s="11">
        <v>16150</v>
      </c>
      <c r="E104" s="82">
        <v>56000</v>
      </c>
    </row>
    <row r="105" spans="1:5" ht="21.75">
      <c r="A105" s="7" t="s">
        <v>135</v>
      </c>
      <c r="B105" s="10" t="s">
        <v>136</v>
      </c>
      <c r="C105" s="11">
        <v>6490</v>
      </c>
      <c r="D105" s="11">
        <v>6490</v>
      </c>
      <c r="E105" s="82">
        <v>140000</v>
      </c>
    </row>
    <row r="106" spans="1:5" ht="21.75">
      <c r="A106" s="33" t="s">
        <v>137</v>
      </c>
      <c r="B106" s="10"/>
      <c r="C106" s="12" t="s">
        <v>28</v>
      </c>
      <c r="D106" s="12" t="s">
        <v>28</v>
      </c>
      <c r="E106" s="82">
        <v>200000</v>
      </c>
    </row>
    <row r="107" spans="1:5" ht="21.75">
      <c r="A107" s="33" t="s">
        <v>138</v>
      </c>
      <c r="B107" s="10" t="s">
        <v>139</v>
      </c>
      <c r="C107" s="12" t="s">
        <v>28</v>
      </c>
      <c r="D107" s="12" t="s">
        <v>28</v>
      </c>
      <c r="E107" s="82">
        <v>20000</v>
      </c>
    </row>
    <row r="108" spans="1:5" ht="21.75">
      <c r="A108" s="7" t="s">
        <v>140</v>
      </c>
      <c r="B108" s="10" t="s">
        <v>136</v>
      </c>
      <c r="C108" s="11">
        <v>1800</v>
      </c>
      <c r="D108" s="11">
        <v>1800</v>
      </c>
      <c r="E108" s="82">
        <v>45000</v>
      </c>
    </row>
    <row r="109" spans="1:5" ht="21.75">
      <c r="A109" s="7" t="s">
        <v>141</v>
      </c>
      <c r="B109" s="10" t="s">
        <v>142</v>
      </c>
      <c r="C109" s="12" t="s">
        <v>28</v>
      </c>
      <c r="D109" s="12" t="s">
        <v>28</v>
      </c>
      <c r="E109" s="82">
        <v>10000</v>
      </c>
    </row>
    <row r="110" spans="1:5" ht="21.75">
      <c r="A110" s="4" t="s">
        <v>143</v>
      </c>
      <c r="B110" s="10" t="s">
        <v>144</v>
      </c>
      <c r="C110" s="34">
        <f>C111+C125+C126+C140</f>
        <v>306661.2</v>
      </c>
      <c r="D110" s="34">
        <f>D111+D126+D140</f>
        <v>297951.2</v>
      </c>
      <c r="E110" s="91">
        <f>E111+E125+E126+E140</f>
        <v>3503200</v>
      </c>
    </row>
    <row r="111" spans="1:5" ht="21.75">
      <c r="A111" s="7" t="s">
        <v>145</v>
      </c>
      <c r="B111" s="10" t="s">
        <v>146</v>
      </c>
      <c r="C111" s="11">
        <f>C120+C121</f>
        <v>129950</v>
      </c>
      <c r="D111" s="11">
        <f>C111</f>
        <v>129950</v>
      </c>
      <c r="E111" s="82">
        <f>E112+E113+E116+E117+E118+E119+E120+E121+E122+E123+E124</f>
        <v>1055500</v>
      </c>
    </row>
    <row r="112" spans="1:5" ht="21.75">
      <c r="A112" s="7" t="s">
        <v>147</v>
      </c>
      <c r="B112" s="10"/>
      <c r="C112" s="12" t="s">
        <v>28</v>
      </c>
      <c r="D112" s="12" t="s">
        <v>28</v>
      </c>
      <c r="E112" s="82">
        <v>50000</v>
      </c>
    </row>
    <row r="113" spans="1:5" ht="21.75">
      <c r="A113" s="7" t="s">
        <v>148</v>
      </c>
      <c r="B113" s="10"/>
      <c r="C113" s="12" t="s">
        <v>28</v>
      </c>
      <c r="D113" s="12" t="s">
        <v>28</v>
      </c>
      <c r="E113" s="82">
        <v>20000</v>
      </c>
    </row>
    <row r="114" spans="1:5" ht="21.75">
      <c r="A114" s="26" t="s">
        <v>63</v>
      </c>
      <c r="B114" s="16"/>
      <c r="C114" s="35" t="s">
        <v>28</v>
      </c>
      <c r="D114" s="35" t="s">
        <v>28</v>
      </c>
      <c r="E114" s="84">
        <f>SUM(E112:E113)</f>
        <v>70000</v>
      </c>
    </row>
    <row r="115" spans="1:5" ht="21.75">
      <c r="A115" s="5" t="s">
        <v>64</v>
      </c>
      <c r="B115" s="36"/>
      <c r="C115" s="37" t="s">
        <v>28</v>
      </c>
      <c r="D115" s="37" t="s">
        <v>28</v>
      </c>
      <c r="E115" s="90">
        <f>E114</f>
        <v>70000</v>
      </c>
    </row>
    <row r="116" spans="1:5" ht="21.75">
      <c r="A116" s="7" t="s">
        <v>149</v>
      </c>
      <c r="B116" s="10"/>
      <c r="C116" s="12" t="s">
        <v>28</v>
      </c>
      <c r="D116" s="12" t="s">
        <v>28</v>
      </c>
      <c r="E116" s="82">
        <v>50000</v>
      </c>
    </row>
    <row r="117" spans="1:5" ht="21.75">
      <c r="A117" s="7" t="s">
        <v>150</v>
      </c>
      <c r="B117" s="10"/>
      <c r="C117" s="12" t="s">
        <v>28</v>
      </c>
      <c r="D117" s="12" t="s">
        <v>28</v>
      </c>
      <c r="E117" s="82">
        <v>10000</v>
      </c>
    </row>
    <row r="118" spans="1:5" ht="21.75">
      <c r="A118" s="7" t="s">
        <v>151</v>
      </c>
      <c r="B118" s="10"/>
      <c r="C118" s="12" t="s">
        <v>28</v>
      </c>
      <c r="D118" s="12" t="s">
        <v>28</v>
      </c>
      <c r="E118" s="82">
        <v>12000</v>
      </c>
    </row>
    <row r="119" spans="1:5" ht="21.75">
      <c r="A119" s="7" t="s">
        <v>152</v>
      </c>
      <c r="B119" s="7"/>
      <c r="C119" s="12" t="s">
        <v>28</v>
      </c>
      <c r="D119" s="12" t="s">
        <v>28</v>
      </c>
      <c r="E119" s="82">
        <v>1500</v>
      </c>
    </row>
    <row r="120" spans="1:5" ht="21.75">
      <c r="A120" s="7" t="s">
        <v>153</v>
      </c>
      <c r="B120" s="10"/>
      <c r="C120" s="38">
        <v>118950</v>
      </c>
      <c r="D120" s="38">
        <f>C120</f>
        <v>118950</v>
      </c>
      <c r="E120" s="92">
        <v>562000</v>
      </c>
    </row>
    <row r="121" spans="1:5" ht="21.75">
      <c r="A121" s="7" t="s">
        <v>154</v>
      </c>
      <c r="B121" s="10"/>
      <c r="C121" s="38">
        <v>11000</v>
      </c>
      <c r="D121" s="38">
        <v>11000</v>
      </c>
      <c r="E121" s="92">
        <v>120000</v>
      </c>
    </row>
    <row r="122" spans="1:5" ht="21.75">
      <c r="A122" s="7" t="s">
        <v>155</v>
      </c>
      <c r="B122" s="10"/>
      <c r="C122" s="12" t="s">
        <v>28</v>
      </c>
      <c r="D122" s="12" t="s">
        <v>28</v>
      </c>
      <c r="E122" s="92">
        <v>100000</v>
      </c>
    </row>
    <row r="123" spans="1:5" ht="21.75">
      <c r="A123" s="7" t="s">
        <v>156</v>
      </c>
      <c r="B123" s="10"/>
      <c r="C123" s="12" t="s">
        <v>28</v>
      </c>
      <c r="D123" s="12" t="s">
        <v>28</v>
      </c>
      <c r="E123" s="92">
        <v>30000</v>
      </c>
    </row>
    <row r="124" spans="1:5" ht="21.75">
      <c r="A124" s="7" t="s">
        <v>157</v>
      </c>
      <c r="B124" s="10"/>
      <c r="C124" s="12" t="s">
        <v>28</v>
      </c>
      <c r="D124" s="12" t="s">
        <v>28</v>
      </c>
      <c r="E124" s="92">
        <v>100000</v>
      </c>
    </row>
    <row r="125" spans="1:5" ht="21.75">
      <c r="A125" s="7" t="s">
        <v>158</v>
      </c>
      <c r="B125" s="10" t="s">
        <v>159</v>
      </c>
      <c r="C125" s="12">
        <v>8710</v>
      </c>
      <c r="D125" s="12">
        <f>C125</f>
        <v>8710</v>
      </c>
      <c r="E125" s="82">
        <v>250000</v>
      </c>
    </row>
    <row r="126" spans="1:5" ht="21.75">
      <c r="A126" s="7" t="s">
        <v>160</v>
      </c>
      <c r="B126" s="10" t="s">
        <v>161</v>
      </c>
      <c r="C126" s="11">
        <f>C128+C131+C134</f>
        <v>119496.2</v>
      </c>
      <c r="D126" s="11">
        <f>C126</f>
        <v>119496.2</v>
      </c>
      <c r="E126" s="82">
        <f>E127+E128+E129+E130+E131+E132+E134+E135</f>
        <v>1157000</v>
      </c>
    </row>
    <row r="127" spans="1:5" ht="21.75">
      <c r="A127" s="7" t="s">
        <v>162</v>
      </c>
      <c r="B127" s="10"/>
      <c r="C127" s="12" t="s">
        <v>28</v>
      </c>
      <c r="D127" s="12" t="s">
        <v>28</v>
      </c>
      <c r="E127" s="82">
        <v>50000</v>
      </c>
    </row>
    <row r="128" spans="1:5" ht="21.75">
      <c r="A128" s="7" t="s">
        <v>163</v>
      </c>
      <c r="B128" s="10"/>
      <c r="C128" s="11">
        <v>8533</v>
      </c>
      <c r="D128" s="11">
        <v>8533</v>
      </c>
      <c r="E128" s="82">
        <v>102000</v>
      </c>
    </row>
    <row r="129" spans="1:5" ht="21.75">
      <c r="A129" s="7" t="s">
        <v>164</v>
      </c>
      <c r="B129" s="10"/>
      <c r="C129" s="12" t="s">
        <v>28</v>
      </c>
      <c r="D129" s="12" t="s">
        <v>28</v>
      </c>
      <c r="E129" s="82">
        <v>15000</v>
      </c>
    </row>
    <row r="130" spans="1:5" ht="21.75">
      <c r="A130" s="7" t="s">
        <v>165</v>
      </c>
      <c r="B130" s="10"/>
      <c r="C130" s="12" t="s">
        <v>28</v>
      </c>
      <c r="D130" s="12" t="s">
        <v>28</v>
      </c>
      <c r="E130" s="82">
        <v>30000</v>
      </c>
    </row>
    <row r="131" spans="1:5" ht="21.75">
      <c r="A131" s="7" t="s">
        <v>166</v>
      </c>
      <c r="B131" s="10"/>
      <c r="C131" s="11">
        <v>45000</v>
      </c>
      <c r="D131" s="11">
        <v>45000</v>
      </c>
      <c r="E131" s="82">
        <v>300000</v>
      </c>
    </row>
    <row r="132" spans="1:5" ht="21.75">
      <c r="A132" s="7" t="s">
        <v>167</v>
      </c>
      <c r="B132" s="10"/>
      <c r="C132" s="12" t="s">
        <v>28</v>
      </c>
      <c r="D132" s="12" t="s">
        <v>28</v>
      </c>
      <c r="E132" s="82">
        <v>60000</v>
      </c>
    </row>
    <row r="133" spans="1:5" ht="21.75">
      <c r="A133" s="7" t="s">
        <v>168</v>
      </c>
      <c r="B133" s="10"/>
      <c r="C133" s="12" t="s">
        <v>28</v>
      </c>
      <c r="D133" s="12" t="s">
        <v>28</v>
      </c>
      <c r="E133" s="82"/>
    </row>
    <row r="134" spans="1:5" ht="21.75">
      <c r="A134" s="7" t="s">
        <v>169</v>
      </c>
      <c r="B134" s="10"/>
      <c r="C134" s="11">
        <v>65963.2</v>
      </c>
      <c r="D134" s="11">
        <v>65963.2</v>
      </c>
      <c r="E134" s="82">
        <v>200000</v>
      </c>
    </row>
    <row r="135" spans="1:5" ht="21.75">
      <c r="A135" s="7" t="s">
        <v>170</v>
      </c>
      <c r="B135" s="10"/>
      <c r="C135" s="12" t="s">
        <v>28</v>
      </c>
      <c r="D135" s="12" t="s">
        <v>28</v>
      </c>
      <c r="E135" s="82">
        <v>400000</v>
      </c>
    </row>
    <row r="136" spans="1:5" ht="21.75">
      <c r="A136" s="7" t="s">
        <v>171</v>
      </c>
      <c r="B136" s="10"/>
      <c r="C136" s="12" t="s">
        <v>28</v>
      </c>
      <c r="D136" s="12" t="s">
        <v>28</v>
      </c>
      <c r="E136" s="93">
        <v>50000</v>
      </c>
    </row>
    <row r="137" spans="1:5" ht="21.75">
      <c r="A137" s="7" t="s">
        <v>172</v>
      </c>
      <c r="B137" s="10"/>
      <c r="C137" s="12" t="s">
        <v>28</v>
      </c>
      <c r="D137" s="12" t="s">
        <v>28</v>
      </c>
      <c r="E137" s="93">
        <v>100000</v>
      </c>
    </row>
    <row r="138" spans="1:5" ht="21.75">
      <c r="A138" s="7" t="s">
        <v>173</v>
      </c>
      <c r="B138" s="10"/>
      <c r="C138" s="12" t="s">
        <v>28</v>
      </c>
      <c r="D138" s="12" t="s">
        <v>28</v>
      </c>
      <c r="E138" s="93">
        <v>200000</v>
      </c>
    </row>
    <row r="139" spans="1:5" ht="21.75">
      <c r="A139" s="7" t="s">
        <v>174</v>
      </c>
      <c r="B139" s="7"/>
      <c r="C139" s="12" t="s">
        <v>28</v>
      </c>
      <c r="D139" s="12" t="s">
        <v>28</v>
      </c>
      <c r="E139" s="93">
        <v>50000</v>
      </c>
    </row>
    <row r="140" spans="1:5" ht="21.75">
      <c r="A140" s="7" t="s">
        <v>175</v>
      </c>
      <c r="B140" s="10" t="s">
        <v>176</v>
      </c>
      <c r="C140" s="11">
        <f>C142+C148+C156</f>
        <v>48505</v>
      </c>
      <c r="D140" s="11">
        <f>D142+D148+D156</f>
        <v>48505</v>
      </c>
      <c r="E140" s="82">
        <f>E142+E143+E144+E145+E146+E147+E148+E149+E150+E153+E154+E155+E156</f>
        <v>1040700</v>
      </c>
    </row>
    <row r="141" spans="1:5" ht="21.75">
      <c r="A141" s="7" t="s">
        <v>177</v>
      </c>
      <c r="B141" s="22"/>
      <c r="C141" s="11"/>
      <c r="D141" s="11"/>
      <c r="E141" s="82"/>
    </row>
    <row r="142" spans="1:5" ht="21.75">
      <c r="A142" s="7" t="s">
        <v>178</v>
      </c>
      <c r="B142" s="10"/>
      <c r="C142" s="11">
        <v>19475</v>
      </c>
      <c r="D142" s="11">
        <v>19475</v>
      </c>
      <c r="E142" s="82">
        <v>155000</v>
      </c>
    </row>
    <row r="143" spans="1:5" ht="21.75">
      <c r="A143" s="7" t="s">
        <v>179</v>
      </c>
      <c r="B143" s="10"/>
      <c r="C143" s="12" t="s">
        <v>28</v>
      </c>
      <c r="D143" s="12" t="s">
        <v>28</v>
      </c>
      <c r="E143" s="82">
        <v>25000</v>
      </c>
    </row>
    <row r="144" spans="1:5" ht="21.75">
      <c r="A144" s="33" t="s">
        <v>180</v>
      </c>
      <c r="B144" s="10"/>
      <c r="C144" s="12" t="s">
        <v>28</v>
      </c>
      <c r="D144" s="12" t="s">
        <v>28</v>
      </c>
      <c r="E144" s="82">
        <v>40000</v>
      </c>
    </row>
    <row r="145" spans="1:5" ht="21.75">
      <c r="A145" s="7" t="s">
        <v>181</v>
      </c>
      <c r="B145" s="10"/>
      <c r="C145" s="12" t="s">
        <v>28</v>
      </c>
      <c r="D145" s="12" t="s">
        <v>28</v>
      </c>
      <c r="E145" s="82">
        <v>25700</v>
      </c>
    </row>
    <row r="146" spans="1:5" ht="21.75">
      <c r="A146" s="7" t="s">
        <v>182</v>
      </c>
      <c r="B146" s="10"/>
      <c r="C146" s="12" t="s">
        <v>28</v>
      </c>
      <c r="D146" s="12" t="s">
        <v>28</v>
      </c>
      <c r="E146" s="82">
        <v>10000</v>
      </c>
    </row>
    <row r="147" spans="1:5" ht="21.75">
      <c r="A147" s="40" t="s">
        <v>183</v>
      </c>
      <c r="B147" s="10"/>
      <c r="C147" s="12" t="s">
        <v>28</v>
      </c>
      <c r="D147" s="12" t="s">
        <v>28</v>
      </c>
      <c r="E147" s="82">
        <v>180000</v>
      </c>
    </row>
    <row r="148" spans="1:5" ht="21.75">
      <c r="A148" s="40" t="s">
        <v>184</v>
      </c>
      <c r="B148" s="10"/>
      <c r="C148" s="11">
        <v>24500</v>
      </c>
      <c r="D148" s="11">
        <v>24500</v>
      </c>
      <c r="E148" s="82">
        <v>420000</v>
      </c>
    </row>
    <row r="149" spans="1:5" ht="21.75">
      <c r="A149" s="40" t="s">
        <v>185</v>
      </c>
      <c r="B149" s="10"/>
      <c r="C149" s="12" t="s">
        <v>28</v>
      </c>
      <c r="D149" s="12" t="s">
        <v>28</v>
      </c>
      <c r="E149" s="82">
        <v>50000</v>
      </c>
    </row>
    <row r="150" spans="1:5" ht="21.75">
      <c r="A150" s="40" t="s">
        <v>186</v>
      </c>
      <c r="B150" s="10"/>
      <c r="C150" s="12" t="s">
        <v>28</v>
      </c>
      <c r="D150" s="12" t="s">
        <v>28</v>
      </c>
      <c r="E150" s="82">
        <v>30000</v>
      </c>
    </row>
    <row r="151" spans="1:5" ht="21.75">
      <c r="A151" s="26" t="s">
        <v>63</v>
      </c>
      <c r="B151" s="16"/>
      <c r="C151" s="35">
        <f>C142+C148</f>
        <v>43975</v>
      </c>
      <c r="D151" s="35">
        <f>D142+D148</f>
        <v>43975</v>
      </c>
      <c r="E151" s="84">
        <f>SUM(E142:E150)</f>
        <v>935700</v>
      </c>
    </row>
    <row r="152" spans="1:5" ht="21.75">
      <c r="A152" s="5" t="s">
        <v>64</v>
      </c>
      <c r="B152" s="36"/>
      <c r="C152" s="37">
        <f>C151</f>
        <v>43975</v>
      </c>
      <c r="D152" s="37">
        <f>D151</f>
        <v>43975</v>
      </c>
      <c r="E152" s="90">
        <f>E151</f>
        <v>935700</v>
      </c>
    </row>
    <row r="153" spans="1:5" ht="21.75">
      <c r="A153" s="7" t="s">
        <v>187</v>
      </c>
      <c r="B153" s="10"/>
      <c r="C153" s="12" t="s">
        <v>28</v>
      </c>
      <c r="D153" s="12" t="s">
        <v>28</v>
      </c>
      <c r="E153" s="82">
        <v>60000</v>
      </c>
    </row>
    <row r="154" spans="1:5" ht="21.75">
      <c r="A154" s="40" t="s">
        <v>188</v>
      </c>
      <c r="B154" s="10"/>
      <c r="C154" s="12" t="s">
        <v>28</v>
      </c>
      <c r="D154" s="12" t="s">
        <v>28</v>
      </c>
      <c r="E154" s="82">
        <v>20000</v>
      </c>
    </row>
    <row r="155" spans="1:5" ht="21.75">
      <c r="A155" s="40" t="s">
        <v>189</v>
      </c>
      <c r="B155" s="10"/>
      <c r="C155" s="12" t="s">
        <v>28</v>
      </c>
      <c r="D155" s="12" t="s">
        <v>28</v>
      </c>
      <c r="E155" s="82">
        <v>20000</v>
      </c>
    </row>
    <row r="156" spans="1:5" ht="21.75">
      <c r="A156" s="7" t="s">
        <v>190</v>
      </c>
      <c r="B156" s="10"/>
      <c r="C156" s="11">
        <v>4530</v>
      </c>
      <c r="D156" s="11">
        <v>4530</v>
      </c>
      <c r="E156" s="82">
        <v>5000</v>
      </c>
    </row>
    <row r="157" spans="1:5" ht="21.75">
      <c r="A157" s="4" t="s">
        <v>191</v>
      </c>
      <c r="B157" s="10" t="s">
        <v>192</v>
      </c>
      <c r="C157" s="34">
        <f>C158+C164+C165+C169+C170</f>
        <v>140946</v>
      </c>
      <c r="D157" s="34">
        <f>C157</f>
        <v>140946</v>
      </c>
      <c r="E157" s="91">
        <f>E158+E163+E164+E165+E166+E167+E168+E169+E170+E171+E172+E176</f>
        <v>1476600</v>
      </c>
    </row>
    <row r="158" spans="1:5" ht="21.75">
      <c r="A158" s="7" t="s">
        <v>193</v>
      </c>
      <c r="B158" s="10" t="s">
        <v>194</v>
      </c>
      <c r="C158" s="11">
        <f>C159+C160</f>
        <v>27740</v>
      </c>
      <c r="D158" s="11">
        <f>D159+D160</f>
        <v>27740</v>
      </c>
      <c r="E158" s="82">
        <f>E159+E160+E161+E162</f>
        <v>262600</v>
      </c>
    </row>
    <row r="159" spans="1:5" ht="21.75">
      <c r="A159" s="40" t="s">
        <v>195</v>
      </c>
      <c r="B159" s="10"/>
      <c r="C159" s="39">
        <v>26764</v>
      </c>
      <c r="D159" s="39">
        <v>26764</v>
      </c>
      <c r="E159" s="93">
        <v>120000</v>
      </c>
    </row>
    <row r="160" spans="1:5" ht="21.75">
      <c r="A160" s="40" t="s">
        <v>196</v>
      </c>
      <c r="B160" s="10"/>
      <c r="C160" s="41">
        <v>976</v>
      </c>
      <c r="D160" s="41">
        <f>C160</f>
        <v>976</v>
      </c>
      <c r="E160" s="93">
        <v>100000</v>
      </c>
    </row>
    <row r="161" spans="1:5" ht="21.75">
      <c r="A161" s="40" t="s">
        <v>197</v>
      </c>
      <c r="B161" s="10"/>
      <c r="C161" s="12" t="s">
        <v>28</v>
      </c>
      <c r="D161" s="12" t="s">
        <v>28</v>
      </c>
      <c r="E161" s="93">
        <v>5000</v>
      </c>
    </row>
    <row r="162" spans="1:5" ht="19.5" customHeight="1">
      <c r="A162" s="40" t="s">
        <v>198</v>
      </c>
      <c r="B162" s="10"/>
      <c r="C162" s="12" t="s">
        <v>28</v>
      </c>
      <c r="D162" s="12" t="s">
        <v>28</v>
      </c>
      <c r="E162" s="93">
        <v>37600</v>
      </c>
    </row>
    <row r="163" spans="1:5" ht="21.75">
      <c r="A163" s="7" t="s">
        <v>199</v>
      </c>
      <c r="B163" s="10" t="s">
        <v>200</v>
      </c>
      <c r="C163" s="12" t="s">
        <v>28</v>
      </c>
      <c r="D163" s="12" t="s">
        <v>28</v>
      </c>
      <c r="E163" s="82">
        <v>50000</v>
      </c>
    </row>
    <row r="164" spans="1:5" ht="21.75">
      <c r="A164" s="7" t="s">
        <v>201</v>
      </c>
      <c r="B164" s="10" t="s">
        <v>202</v>
      </c>
      <c r="C164" s="11">
        <v>1805</v>
      </c>
      <c r="D164" s="11">
        <v>1805</v>
      </c>
      <c r="E164" s="82">
        <v>104000</v>
      </c>
    </row>
    <row r="165" spans="1:5" ht="21.75">
      <c r="A165" s="7" t="s">
        <v>203</v>
      </c>
      <c r="B165" s="10" t="s">
        <v>204</v>
      </c>
      <c r="C165" s="11">
        <v>14000</v>
      </c>
      <c r="D165" s="11">
        <v>14000</v>
      </c>
      <c r="E165" s="82">
        <v>110000</v>
      </c>
    </row>
    <row r="166" spans="1:5" ht="21.75">
      <c r="A166" s="7" t="s">
        <v>205</v>
      </c>
      <c r="B166" s="10" t="s">
        <v>206</v>
      </c>
      <c r="C166" s="12" t="s">
        <v>28</v>
      </c>
      <c r="D166" s="12" t="s">
        <v>28</v>
      </c>
      <c r="E166" s="82">
        <v>110000</v>
      </c>
    </row>
    <row r="167" spans="1:5" ht="21.75">
      <c r="A167" s="7" t="s">
        <v>207</v>
      </c>
      <c r="B167" s="10" t="s">
        <v>208</v>
      </c>
      <c r="C167" s="12" t="s">
        <v>28</v>
      </c>
      <c r="D167" s="12" t="s">
        <v>28</v>
      </c>
      <c r="E167" s="82">
        <v>50000</v>
      </c>
    </row>
    <row r="168" spans="1:5" ht="21.75">
      <c r="A168" s="7" t="s">
        <v>209</v>
      </c>
      <c r="B168" s="10" t="s">
        <v>210</v>
      </c>
      <c r="C168" s="12" t="s">
        <v>28</v>
      </c>
      <c r="D168" s="12" t="s">
        <v>28</v>
      </c>
      <c r="E168" s="82">
        <v>175000</v>
      </c>
    </row>
    <row r="169" spans="1:5" ht="21.75">
      <c r="A169" s="7" t="s">
        <v>211</v>
      </c>
      <c r="B169" s="10" t="s">
        <v>212</v>
      </c>
      <c r="C169" s="11">
        <v>84201</v>
      </c>
      <c r="D169" s="11">
        <f>C169</f>
        <v>84201</v>
      </c>
      <c r="E169" s="82">
        <v>215000</v>
      </c>
    </row>
    <row r="170" spans="1:5" ht="21.75">
      <c r="A170" s="7" t="s">
        <v>213</v>
      </c>
      <c r="B170" s="10" t="s">
        <v>214</v>
      </c>
      <c r="C170" s="12">
        <v>13200</v>
      </c>
      <c r="D170" s="12">
        <f>C170</f>
        <v>13200</v>
      </c>
      <c r="E170" s="82">
        <v>110000</v>
      </c>
    </row>
    <row r="171" spans="1:5" ht="21.75">
      <c r="A171" s="7" t="s">
        <v>215</v>
      </c>
      <c r="B171" s="10" t="s">
        <v>216</v>
      </c>
      <c r="C171" s="12" t="s">
        <v>28</v>
      </c>
      <c r="D171" s="12" t="s">
        <v>28</v>
      </c>
      <c r="E171" s="82">
        <v>100000</v>
      </c>
    </row>
    <row r="172" spans="1:5" ht="21.75">
      <c r="A172" s="7" t="s">
        <v>217</v>
      </c>
      <c r="B172" s="10" t="s">
        <v>218</v>
      </c>
      <c r="C172" s="12" t="s">
        <v>28</v>
      </c>
      <c r="D172" s="12" t="s">
        <v>28</v>
      </c>
      <c r="E172" s="82">
        <v>140000</v>
      </c>
    </row>
    <row r="173" spans="1:5" ht="21.75">
      <c r="A173" s="40" t="s">
        <v>219</v>
      </c>
      <c r="B173" s="7"/>
      <c r="C173" s="12" t="s">
        <v>28</v>
      </c>
      <c r="D173" s="12" t="s">
        <v>28</v>
      </c>
      <c r="E173" s="93">
        <v>10000</v>
      </c>
    </row>
    <row r="174" spans="1:5" ht="21.75">
      <c r="A174" s="40" t="s">
        <v>220</v>
      </c>
      <c r="B174" s="7"/>
      <c r="C174" s="12" t="s">
        <v>28</v>
      </c>
      <c r="D174" s="12" t="s">
        <v>28</v>
      </c>
      <c r="E174" s="93">
        <v>100000</v>
      </c>
    </row>
    <row r="175" spans="1:5" ht="21.75">
      <c r="A175" s="7" t="s">
        <v>221</v>
      </c>
      <c r="B175" s="7"/>
      <c r="C175" s="8" t="s">
        <v>28</v>
      </c>
      <c r="D175" s="8" t="s">
        <v>28</v>
      </c>
      <c r="E175" s="93">
        <v>30000</v>
      </c>
    </row>
    <row r="176" spans="1:5" ht="21.75">
      <c r="A176" s="7" t="s">
        <v>222</v>
      </c>
      <c r="B176" s="10" t="s">
        <v>223</v>
      </c>
      <c r="C176" s="8" t="s">
        <v>28</v>
      </c>
      <c r="D176" s="8" t="s">
        <v>28</v>
      </c>
      <c r="E176" s="82">
        <v>50000</v>
      </c>
    </row>
    <row r="177" spans="1:5" ht="21.75">
      <c r="A177" s="4" t="s">
        <v>224</v>
      </c>
      <c r="B177" s="10" t="s">
        <v>225</v>
      </c>
      <c r="C177" s="21">
        <f>C179+C182+C183+C184</f>
        <v>35009.55</v>
      </c>
      <c r="D177" s="21">
        <f>C177</f>
        <v>35009.55</v>
      </c>
      <c r="E177" s="81">
        <f>E178+E182+E183+E184</f>
        <v>202000</v>
      </c>
    </row>
    <row r="178" spans="1:5" ht="21.75">
      <c r="A178" s="7" t="s">
        <v>226</v>
      </c>
      <c r="B178" s="10" t="s">
        <v>227</v>
      </c>
      <c r="C178" s="42" t="s">
        <v>228</v>
      </c>
      <c r="D178" s="11" t="str">
        <f>C178</f>
        <v> </v>
      </c>
      <c r="E178" s="82">
        <v>115000</v>
      </c>
    </row>
    <row r="179" spans="1:5" ht="21.75">
      <c r="A179" s="7" t="s">
        <v>229</v>
      </c>
      <c r="B179" s="10"/>
      <c r="C179" s="12">
        <f>6687.75+5855.01+4822.17</f>
        <v>17364.93</v>
      </c>
      <c r="D179" s="12">
        <f>C179</f>
        <v>17364.93</v>
      </c>
      <c r="E179" s="93">
        <v>80000</v>
      </c>
    </row>
    <row r="180" spans="1:5" ht="21.75">
      <c r="A180" s="7" t="s">
        <v>230</v>
      </c>
      <c r="B180" s="10"/>
      <c r="C180" s="12" t="s">
        <v>28</v>
      </c>
      <c r="D180" s="12" t="s">
        <v>28</v>
      </c>
      <c r="E180" s="93">
        <v>15000</v>
      </c>
    </row>
    <row r="181" spans="1:6" s="43" customFormat="1" ht="21.75">
      <c r="A181" s="7" t="s">
        <v>231</v>
      </c>
      <c r="B181" s="10"/>
      <c r="C181" s="12" t="s">
        <v>28</v>
      </c>
      <c r="D181" s="12" t="s">
        <v>28</v>
      </c>
      <c r="E181" s="93">
        <v>20000</v>
      </c>
      <c r="F181" s="97"/>
    </row>
    <row r="182" spans="1:6" s="43" customFormat="1" ht="21.75">
      <c r="A182" s="7" t="s">
        <v>232</v>
      </c>
      <c r="B182" s="10" t="s">
        <v>233</v>
      </c>
      <c r="C182" s="12">
        <v>160.5</v>
      </c>
      <c r="D182" s="12">
        <v>160.5</v>
      </c>
      <c r="E182" s="82">
        <v>36000</v>
      </c>
      <c r="F182" s="97"/>
    </row>
    <row r="183" spans="1:5" ht="21.75">
      <c r="A183" s="7" t="s">
        <v>234</v>
      </c>
      <c r="B183" s="10" t="s">
        <v>235</v>
      </c>
      <c r="C183" s="11">
        <f>2680.73+2387.97+2415.42</f>
        <v>7484.12</v>
      </c>
      <c r="D183" s="11">
        <v>7484.12</v>
      </c>
      <c r="E183" s="82">
        <v>35000</v>
      </c>
    </row>
    <row r="184" spans="1:5" ht="21.75">
      <c r="A184" s="7" t="s">
        <v>236</v>
      </c>
      <c r="B184" s="10" t="s">
        <v>237</v>
      </c>
      <c r="C184" s="11">
        <f>2000+2000+2000+2000+2000</f>
        <v>10000</v>
      </c>
      <c r="D184" s="11">
        <f>C184</f>
        <v>10000</v>
      </c>
      <c r="E184" s="82">
        <v>16000</v>
      </c>
    </row>
    <row r="185" spans="1:5" ht="21.75">
      <c r="A185" s="4" t="s">
        <v>238</v>
      </c>
      <c r="B185" s="10" t="s">
        <v>239</v>
      </c>
      <c r="C185" s="21">
        <f>C199</f>
        <v>30000</v>
      </c>
      <c r="D185" s="21">
        <f>C185</f>
        <v>30000</v>
      </c>
      <c r="E185" s="81">
        <f>E186</f>
        <v>669000</v>
      </c>
    </row>
    <row r="186" spans="1:5" ht="21.75">
      <c r="A186" s="7" t="s">
        <v>240</v>
      </c>
      <c r="B186" s="10" t="s">
        <v>241</v>
      </c>
      <c r="C186" s="44">
        <f>C185</f>
        <v>30000</v>
      </c>
      <c r="D186" s="44">
        <f>D185</f>
        <v>30000</v>
      </c>
      <c r="E186" s="94">
        <v>669000</v>
      </c>
    </row>
    <row r="187" spans="1:5" ht="21.75">
      <c r="A187" s="7" t="s">
        <v>242</v>
      </c>
      <c r="B187" s="10"/>
      <c r="C187" s="8" t="s">
        <v>28</v>
      </c>
      <c r="D187" s="8" t="s">
        <v>28</v>
      </c>
      <c r="E187" s="82">
        <v>10000</v>
      </c>
    </row>
    <row r="188" spans="1:5" ht="21.75">
      <c r="A188" s="26" t="s">
        <v>63</v>
      </c>
      <c r="B188" s="16"/>
      <c r="C188" s="26"/>
      <c r="D188" s="26"/>
      <c r="E188" s="84">
        <f>E187</f>
        <v>10000</v>
      </c>
    </row>
    <row r="189" spans="1:5" ht="21.75">
      <c r="A189" s="5" t="s">
        <v>64</v>
      </c>
      <c r="B189" s="36"/>
      <c r="C189" s="5"/>
      <c r="D189" s="5"/>
      <c r="E189" s="90">
        <f>E188</f>
        <v>10000</v>
      </c>
    </row>
    <row r="190" spans="1:5" ht="21.75">
      <c r="A190" s="7" t="s">
        <v>242</v>
      </c>
      <c r="B190" s="10"/>
      <c r="C190" s="8" t="s">
        <v>28</v>
      </c>
      <c r="D190" s="8" t="s">
        <v>28</v>
      </c>
      <c r="E190" s="82">
        <v>20000</v>
      </c>
    </row>
    <row r="191" spans="1:5" ht="21.75">
      <c r="A191" s="7" t="s">
        <v>242</v>
      </c>
      <c r="B191" s="10"/>
      <c r="C191" s="8" t="s">
        <v>28</v>
      </c>
      <c r="D191" s="8" t="s">
        <v>28</v>
      </c>
      <c r="E191" s="82">
        <v>20000</v>
      </c>
    </row>
    <row r="192" spans="1:5" ht="21.75">
      <c r="A192" s="7" t="s">
        <v>242</v>
      </c>
      <c r="B192" s="10"/>
      <c r="C192" s="8" t="s">
        <v>28</v>
      </c>
      <c r="D192" s="8" t="s">
        <v>28</v>
      </c>
      <c r="E192" s="82">
        <v>20000</v>
      </c>
    </row>
    <row r="193" spans="1:5" ht="21.75">
      <c r="A193" s="7" t="s">
        <v>242</v>
      </c>
      <c r="B193" s="10"/>
      <c r="C193" s="8" t="s">
        <v>28</v>
      </c>
      <c r="D193" s="8" t="s">
        <v>28</v>
      </c>
      <c r="E193" s="82">
        <v>5000</v>
      </c>
    </row>
    <row r="194" spans="1:5" ht="21.75">
      <c r="A194" s="7" t="s">
        <v>242</v>
      </c>
      <c r="B194" s="10"/>
      <c r="C194" s="8" t="s">
        <v>28</v>
      </c>
      <c r="D194" s="8" t="s">
        <v>28</v>
      </c>
      <c r="E194" s="82">
        <v>2000</v>
      </c>
    </row>
    <row r="195" spans="1:5" ht="21.75">
      <c r="A195" s="7" t="s">
        <v>242</v>
      </c>
      <c r="B195" s="10"/>
      <c r="C195" s="8" t="s">
        <v>28</v>
      </c>
      <c r="D195" s="8" t="s">
        <v>28</v>
      </c>
      <c r="E195" s="82">
        <v>2000</v>
      </c>
    </row>
    <row r="196" spans="1:5" ht="21.75">
      <c r="A196" s="7" t="s">
        <v>242</v>
      </c>
      <c r="B196" s="10"/>
      <c r="C196" s="8" t="s">
        <v>28</v>
      </c>
      <c r="D196" s="8" t="s">
        <v>28</v>
      </c>
      <c r="E196" s="82">
        <v>20000</v>
      </c>
    </row>
    <row r="197" spans="1:5" ht="21.75">
      <c r="A197" s="7" t="s">
        <v>242</v>
      </c>
      <c r="B197" s="10"/>
      <c r="C197" s="8" t="s">
        <v>28</v>
      </c>
      <c r="D197" s="8" t="s">
        <v>28</v>
      </c>
      <c r="E197" s="82">
        <v>2000</v>
      </c>
    </row>
    <row r="198" spans="1:5" ht="21.75">
      <c r="A198" s="7" t="s">
        <v>242</v>
      </c>
      <c r="B198" s="10"/>
      <c r="C198" s="8" t="s">
        <v>28</v>
      </c>
      <c r="D198" s="8" t="s">
        <v>28</v>
      </c>
      <c r="E198" s="82">
        <v>20000</v>
      </c>
    </row>
    <row r="199" spans="1:5" ht="21.75">
      <c r="A199" s="7" t="s">
        <v>242</v>
      </c>
      <c r="B199" s="10"/>
      <c r="C199" s="11">
        <v>30000</v>
      </c>
      <c r="D199" s="46">
        <f>C199</f>
        <v>30000</v>
      </c>
      <c r="E199" s="82">
        <v>30000</v>
      </c>
    </row>
    <row r="200" spans="1:5" ht="21.75">
      <c r="A200" s="7" t="s">
        <v>242</v>
      </c>
      <c r="B200" s="10"/>
      <c r="C200" s="8" t="s">
        <v>28</v>
      </c>
      <c r="D200" s="8" t="s">
        <v>28</v>
      </c>
      <c r="E200" s="82">
        <v>40000</v>
      </c>
    </row>
    <row r="201" spans="1:5" ht="21.75">
      <c r="A201" s="7" t="s">
        <v>243</v>
      </c>
      <c r="B201" s="10"/>
      <c r="C201" s="8" t="s">
        <v>28</v>
      </c>
      <c r="D201" s="8" t="s">
        <v>28</v>
      </c>
      <c r="E201" s="82">
        <v>30000</v>
      </c>
    </row>
    <row r="202" spans="1:5" ht="21.75">
      <c r="A202" s="7" t="s">
        <v>244</v>
      </c>
      <c r="B202" s="10"/>
      <c r="C202" s="8" t="s">
        <v>28</v>
      </c>
      <c r="D202" s="8" t="s">
        <v>28</v>
      </c>
      <c r="E202" s="82">
        <v>12000</v>
      </c>
    </row>
    <row r="203" spans="1:5" ht="21.75">
      <c r="A203" s="7" t="s">
        <v>244</v>
      </c>
      <c r="B203" s="10"/>
      <c r="C203" s="8" t="s">
        <v>28</v>
      </c>
      <c r="D203" s="8" t="s">
        <v>28</v>
      </c>
      <c r="E203" s="82">
        <v>52000</v>
      </c>
    </row>
    <row r="204" spans="1:5" ht="21.75">
      <c r="A204" s="7" t="s">
        <v>245</v>
      </c>
      <c r="B204" s="10"/>
      <c r="C204" s="8" t="s">
        <v>28</v>
      </c>
      <c r="D204" s="8" t="s">
        <v>28</v>
      </c>
      <c r="E204" s="82">
        <v>16000</v>
      </c>
    </row>
    <row r="205" spans="1:5" ht="21.75">
      <c r="A205" s="7" t="s">
        <v>245</v>
      </c>
      <c r="B205" s="10"/>
      <c r="C205" s="8" t="s">
        <v>28</v>
      </c>
      <c r="D205" s="8" t="s">
        <v>28</v>
      </c>
      <c r="E205" s="82">
        <v>163000</v>
      </c>
    </row>
    <row r="206" spans="1:5" ht="21.75">
      <c r="A206" s="7" t="s">
        <v>246</v>
      </c>
      <c r="B206" s="10"/>
      <c r="C206" s="8" t="s">
        <v>28</v>
      </c>
      <c r="D206" s="8" t="s">
        <v>28</v>
      </c>
      <c r="E206" s="82">
        <v>12000</v>
      </c>
    </row>
    <row r="207" spans="1:5" ht="21.75">
      <c r="A207" s="7" t="s">
        <v>246</v>
      </c>
      <c r="B207" s="10"/>
      <c r="C207" s="8" t="s">
        <v>28</v>
      </c>
      <c r="D207" s="8" t="s">
        <v>28</v>
      </c>
      <c r="E207" s="82">
        <v>80000</v>
      </c>
    </row>
    <row r="208" spans="1:5" ht="21.75">
      <c r="A208" s="7" t="s">
        <v>247</v>
      </c>
      <c r="B208" s="10"/>
      <c r="C208" s="8" t="s">
        <v>28</v>
      </c>
      <c r="D208" s="8" t="s">
        <v>28</v>
      </c>
      <c r="E208" s="82">
        <v>10000</v>
      </c>
    </row>
    <row r="209" spans="1:5" ht="21.75">
      <c r="A209" s="7" t="s">
        <v>247</v>
      </c>
      <c r="B209" s="10"/>
      <c r="C209" s="8" t="s">
        <v>28</v>
      </c>
      <c r="D209" s="8" t="s">
        <v>28</v>
      </c>
      <c r="E209" s="82">
        <v>34000</v>
      </c>
    </row>
    <row r="210" spans="1:5" ht="21.75">
      <c r="A210" s="7" t="s">
        <v>248</v>
      </c>
      <c r="B210" s="10"/>
      <c r="C210" s="8" t="s">
        <v>28</v>
      </c>
      <c r="D210" s="8" t="s">
        <v>28</v>
      </c>
      <c r="E210" s="82">
        <v>10000</v>
      </c>
    </row>
    <row r="211" spans="1:5" ht="21.75">
      <c r="A211" s="7" t="s">
        <v>248</v>
      </c>
      <c r="B211" s="10"/>
      <c r="C211" s="8" t="s">
        <v>28</v>
      </c>
      <c r="D211" s="8" t="s">
        <v>28</v>
      </c>
      <c r="E211" s="82">
        <v>29000</v>
      </c>
    </row>
    <row r="212" spans="1:5" ht="21.75">
      <c r="A212" s="7" t="s">
        <v>249</v>
      </c>
      <c r="B212" s="10"/>
      <c r="C212" s="8" t="s">
        <v>28</v>
      </c>
      <c r="D212" s="8" t="s">
        <v>28</v>
      </c>
      <c r="E212" s="82">
        <v>30000</v>
      </c>
    </row>
    <row r="213" spans="1:5" ht="21.75">
      <c r="A213" s="4" t="s">
        <v>250</v>
      </c>
      <c r="B213" s="10"/>
      <c r="C213" s="32" t="s">
        <v>28</v>
      </c>
      <c r="D213" s="32" t="s">
        <v>28</v>
      </c>
      <c r="E213" s="81">
        <f>E214</f>
        <v>11537460</v>
      </c>
    </row>
    <row r="214" spans="1:5" ht="21.75">
      <c r="A214" s="4" t="s">
        <v>251</v>
      </c>
      <c r="B214" s="10"/>
      <c r="C214" s="3" t="s">
        <v>28</v>
      </c>
      <c r="D214" s="3" t="s">
        <v>28</v>
      </c>
      <c r="E214" s="81">
        <v>11537460</v>
      </c>
    </row>
    <row r="215" spans="1:5" ht="21.75">
      <c r="A215" s="4" t="s">
        <v>252</v>
      </c>
      <c r="B215" s="10" t="s">
        <v>253</v>
      </c>
      <c r="C215" s="47" t="s">
        <v>28</v>
      </c>
      <c r="D215" s="47" t="s">
        <v>28</v>
      </c>
      <c r="E215" s="91">
        <f>E216+E217+E218+E219+E220+E221+E222+E224+48000</f>
        <v>1267460</v>
      </c>
    </row>
    <row r="216" spans="1:5" ht="21.75">
      <c r="A216" s="7" t="s">
        <v>254</v>
      </c>
      <c r="B216" s="10" t="s">
        <v>255</v>
      </c>
      <c r="C216" s="8" t="s">
        <v>28</v>
      </c>
      <c r="D216" s="8" t="s">
        <v>28</v>
      </c>
      <c r="E216" s="82">
        <f>256460+69500+8500</f>
        <v>334460</v>
      </c>
    </row>
    <row r="217" spans="1:5" ht="21.75">
      <c r="A217" s="7" t="s">
        <v>256</v>
      </c>
      <c r="B217" s="10" t="s">
        <v>257</v>
      </c>
      <c r="C217" s="8" t="s">
        <v>28</v>
      </c>
      <c r="D217" s="8" t="s">
        <v>28</v>
      </c>
      <c r="E217" s="82">
        <f>81000+429000</f>
        <v>510000</v>
      </c>
    </row>
    <row r="218" spans="1:5" ht="21.75">
      <c r="A218" s="7" t="s">
        <v>258</v>
      </c>
      <c r="B218" s="10" t="s">
        <v>259</v>
      </c>
      <c r="C218" s="8" t="s">
        <v>28</v>
      </c>
      <c r="D218" s="8" t="s">
        <v>28</v>
      </c>
      <c r="E218" s="82">
        <v>43000</v>
      </c>
    </row>
    <row r="219" spans="1:5" ht="21.75">
      <c r="A219" s="7" t="s">
        <v>260</v>
      </c>
      <c r="B219" s="10" t="s">
        <v>261</v>
      </c>
      <c r="C219" s="8" t="s">
        <v>28</v>
      </c>
      <c r="D219" s="8" t="s">
        <v>28</v>
      </c>
      <c r="E219" s="82">
        <v>30000</v>
      </c>
    </row>
    <row r="220" spans="1:5" ht="21.75">
      <c r="A220" s="7" t="s">
        <v>262</v>
      </c>
      <c r="B220" s="10" t="s">
        <v>263</v>
      </c>
      <c r="C220" s="8" t="s">
        <v>28</v>
      </c>
      <c r="D220" s="8" t="s">
        <v>28</v>
      </c>
      <c r="E220" s="82">
        <v>60000</v>
      </c>
    </row>
    <row r="221" spans="1:5" ht="21.75">
      <c r="A221" s="7" t="s">
        <v>264</v>
      </c>
      <c r="B221" s="10" t="s">
        <v>265</v>
      </c>
      <c r="C221" s="8" t="s">
        <v>28</v>
      </c>
      <c r="D221" s="8" t="s">
        <v>28</v>
      </c>
      <c r="E221" s="82">
        <v>26000</v>
      </c>
    </row>
    <row r="222" spans="1:5" ht="21.75">
      <c r="A222" s="7" t="s">
        <v>266</v>
      </c>
      <c r="B222" s="10" t="s">
        <v>267</v>
      </c>
      <c r="C222" s="8" t="s">
        <v>28</v>
      </c>
      <c r="D222" s="8" t="s">
        <v>28</v>
      </c>
      <c r="E222" s="82">
        <v>200000</v>
      </c>
    </row>
    <row r="223" spans="1:5" ht="21.75">
      <c r="A223" s="7" t="s">
        <v>268</v>
      </c>
      <c r="B223" s="10" t="s">
        <v>269</v>
      </c>
      <c r="C223" s="8" t="s">
        <v>28</v>
      </c>
      <c r="D223" s="8" t="s">
        <v>28</v>
      </c>
      <c r="E223" s="82">
        <v>48000</v>
      </c>
    </row>
    <row r="224" spans="1:5" ht="21.75">
      <c r="A224" s="7" t="s">
        <v>270</v>
      </c>
      <c r="B224" s="10" t="s">
        <v>257</v>
      </c>
      <c r="C224" s="8" t="s">
        <v>28</v>
      </c>
      <c r="D224" s="8" t="s">
        <v>28</v>
      </c>
      <c r="E224" s="82">
        <v>16000</v>
      </c>
    </row>
    <row r="225" spans="1:5" ht="21.75">
      <c r="A225" s="26" t="s">
        <v>63</v>
      </c>
      <c r="B225" s="16"/>
      <c r="C225" s="26" t="s">
        <v>28</v>
      </c>
      <c r="D225" s="26" t="s">
        <v>28</v>
      </c>
      <c r="E225" s="95" t="s">
        <v>28</v>
      </c>
    </row>
    <row r="226" spans="1:5" ht="21.75">
      <c r="A226" s="5" t="s">
        <v>64</v>
      </c>
      <c r="B226" s="36"/>
      <c r="C226" s="5" t="s">
        <v>28</v>
      </c>
      <c r="D226" s="5" t="s">
        <v>28</v>
      </c>
      <c r="E226" s="96" t="s">
        <v>28</v>
      </c>
    </row>
    <row r="227" spans="1:5" ht="21.75">
      <c r="A227" s="4" t="s">
        <v>271</v>
      </c>
      <c r="B227" s="10" t="s">
        <v>272</v>
      </c>
      <c r="C227" s="47" t="s">
        <v>28</v>
      </c>
      <c r="D227" s="47" t="s">
        <v>28</v>
      </c>
      <c r="E227" s="91">
        <f>E228+E229+E231+E232+E233+E234+E235+E237+E239+E241+E242+E243+E245+E246+E248+E250+E251+E252+E253+E255+E256+E257+E258+E260+E264+E265+E266+E268+E269</f>
        <v>10270000</v>
      </c>
    </row>
    <row r="228" spans="1:5" ht="21.75">
      <c r="A228" s="7" t="s">
        <v>273</v>
      </c>
      <c r="B228" s="10" t="s">
        <v>274</v>
      </c>
      <c r="C228" s="8" t="s">
        <v>28</v>
      </c>
      <c r="D228" s="8" t="s">
        <v>28</v>
      </c>
      <c r="E228" s="82">
        <v>607000</v>
      </c>
    </row>
    <row r="229" spans="1:5" ht="21.75">
      <c r="A229" s="7" t="s">
        <v>275</v>
      </c>
      <c r="B229" s="10" t="s">
        <v>274</v>
      </c>
      <c r="C229" s="8" t="s">
        <v>28</v>
      </c>
      <c r="D229" s="8" t="s">
        <v>28</v>
      </c>
      <c r="E229" s="82">
        <v>119000</v>
      </c>
    </row>
    <row r="230" spans="1:5" ht="21.75">
      <c r="A230" s="7" t="s">
        <v>276</v>
      </c>
      <c r="B230" s="10"/>
      <c r="C230" s="8"/>
      <c r="D230" s="8"/>
      <c r="E230" s="82"/>
    </row>
    <row r="231" spans="1:5" ht="21.75">
      <c r="A231" s="7" t="s">
        <v>277</v>
      </c>
      <c r="B231" s="10" t="s">
        <v>274</v>
      </c>
      <c r="C231" s="8" t="s">
        <v>28</v>
      </c>
      <c r="D231" s="8" t="s">
        <v>28</v>
      </c>
      <c r="E231" s="82">
        <v>527000</v>
      </c>
    </row>
    <row r="232" spans="1:5" ht="21.75">
      <c r="A232" s="7" t="s">
        <v>278</v>
      </c>
      <c r="B232" s="10" t="s">
        <v>274</v>
      </c>
      <c r="C232" s="8" t="s">
        <v>28</v>
      </c>
      <c r="D232" s="8" t="s">
        <v>28</v>
      </c>
      <c r="E232" s="82">
        <v>43400</v>
      </c>
    </row>
    <row r="233" spans="1:5" ht="21.75">
      <c r="A233" s="7" t="s">
        <v>279</v>
      </c>
      <c r="B233" s="10" t="s">
        <v>274</v>
      </c>
      <c r="C233" s="8" t="s">
        <v>28</v>
      </c>
      <c r="D233" s="8" t="s">
        <v>28</v>
      </c>
      <c r="E233" s="82">
        <v>802000</v>
      </c>
    </row>
    <row r="234" spans="1:5" ht="21.75">
      <c r="A234" s="7" t="s">
        <v>280</v>
      </c>
      <c r="B234" s="10" t="s">
        <v>274</v>
      </c>
      <c r="C234" s="8" t="s">
        <v>28</v>
      </c>
      <c r="D234" s="8" t="s">
        <v>28</v>
      </c>
      <c r="E234" s="82">
        <v>1434000</v>
      </c>
    </row>
    <row r="235" spans="1:5" ht="21.75">
      <c r="A235" s="7" t="s">
        <v>281</v>
      </c>
      <c r="B235" s="10" t="s">
        <v>274</v>
      </c>
      <c r="C235" s="8" t="s">
        <v>28</v>
      </c>
      <c r="D235" s="8" t="s">
        <v>28</v>
      </c>
      <c r="E235" s="82">
        <v>282000</v>
      </c>
    </row>
    <row r="236" spans="1:5" ht="21.75">
      <c r="A236" s="7" t="s">
        <v>282</v>
      </c>
      <c r="B236" s="10"/>
      <c r="C236" s="8"/>
      <c r="D236" s="8"/>
      <c r="E236" s="82"/>
    </row>
    <row r="237" spans="1:5" ht="21.75">
      <c r="A237" s="7" t="s">
        <v>283</v>
      </c>
      <c r="B237" s="10" t="s">
        <v>274</v>
      </c>
      <c r="C237" s="8" t="s">
        <v>28</v>
      </c>
      <c r="D237" s="8" t="s">
        <v>28</v>
      </c>
      <c r="E237" s="82">
        <v>95000</v>
      </c>
    </row>
    <row r="238" spans="1:5" ht="21.75">
      <c r="A238" s="7" t="s">
        <v>284</v>
      </c>
      <c r="B238" s="10"/>
      <c r="C238" s="8"/>
      <c r="D238" s="8"/>
      <c r="E238" s="82"/>
    </row>
    <row r="239" spans="1:5" ht="21.75">
      <c r="A239" s="7" t="s">
        <v>285</v>
      </c>
      <c r="B239" s="10" t="s">
        <v>274</v>
      </c>
      <c r="C239" s="8" t="s">
        <v>28</v>
      </c>
      <c r="D239" s="8" t="s">
        <v>28</v>
      </c>
      <c r="E239" s="82">
        <v>530000</v>
      </c>
    </row>
    <row r="240" spans="1:5" ht="21.75">
      <c r="A240" s="7" t="s">
        <v>284</v>
      </c>
      <c r="B240" s="10"/>
      <c r="C240" s="8"/>
      <c r="D240" s="8"/>
      <c r="E240" s="82"/>
    </row>
    <row r="241" spans="1:5" ht="21.75">
      <c r="A241" s="7" t="s">
        <v>286</v>
      </c>
      <c r="B241" s="10" t="s">
        <v>274</v>
      </c>
      <c r="C241" s="8" t="s">
        <v>28</v>
      </c>
      <c r="D241" s="8" t="s">
        <v>28</v>
      </c>
      <c r="E241" s="82">
        <v>402000</v>
      </c>
    </row>
    <row r="242" spans="1:5" ht="21.75">
      <c r="A242" s="7" t="s">
        <v>287</v>
      </c>
      <c r="B242" s="10" t="s">
        <v>274</v>
      </c>
      <c r="C242" s="8" t="s">
        <v>28</v>
      </c>
      <c r="D242" s="8" t="s">
        <v>28</v>
      </c>
      <c r="E242" s="82">
        <v>200000</v>
      </c>
    </row>
    <row r="243" spans="1:5" ht="21.75">
      <c r="A243" s="7" t="s">
        <v>288</v>
      </c>
      <c r="B243" s="10" t="s">
        <v>274</v>
      </c>
      <c r="C243" s="8" t="s">
        <v>28</v>
      </c>
      <c r="D243" s="8" t="s">
        <v>28</v>
      </c>
      <c r="E243" s="82">
        <v>94000</v>
      </c>
    </row>
    <row r="244" spans="1:5" ht="21.75">
      <c r="A244" s="7" t="s">
        <v>289</v>
      </c>
      <c r="B244" s="10" t="s">
        <v>274</v>
      </c>
      <c r="C244" s="8" t="s">
        <v>28</v>
      </c>
      <c r="D244" s="8" t="s">
        <v>28</v>
      </c>
      <c r="E244" s="82"/>
    </row>
    <row r="245" spans="1:5" ht="21.75">
      <c r="A245" s="7" t="s">
        <v>290</v>
      </c>
      <c r="B245" s="10"/>
      <c r="C245" s="8"/>
      <c r="D245" s="8"/>
      <c r="E245" s="82">
        <v>1155000</v>
      </c>
    </row>
    <row r="246" spans="1:5" ht="21.75">
      <c r="A246" s="7" t="s">
        <v>291</v>
      </c>
      <c r="B246" s="10" t="s">
        <v>274</v>
      </c>
      <c r="C246" s="8" t="s">
        <v>28</v>
      </c>
      <c r="D246" s="8" t="s">
        <v>28</v>
      </c>
      <c r="E246" s="82">
        <v>61900</v>
      </c>
    </row>
    <row r="247" spans="1:5" ht="21.75">
      <c r="A247" s="7" t="s">
        <v>292</v>
      </c>
      <c r="B247" s="10"/>
      <c r="C247" s="8"/>
      <c r="D247" s="8"/>
      <c r="E247" s="82"/>
    </row>
    <row r="248" spans="1:5" ht="21.75">
      <c r="A248" s="7" t="s">
        <v>293</v>
      </c>
      <c r="B248" s="10" t="s">
        <v>274</v>
      </c>
      <c r="C248" s="8" t="s">
        <v>28</v>
      </c>
      <c r="D248" s="8" t="s">
        <v>28</v>
      </c>
      <c r="E248" s="82">
        <v>500000</v>
      </c>
    </row>
    <row r="249" spans="1:5" ht="21.75">
      <c r="A249" s="7" t="s">
        <v>294</v>
      </c>
      <c r="B249" s="10"/>
      <c r="C249" s="8"/>
      <c r="D249" s="8"/>
      <c r="E249" s="82"/>
    </row>
    <row r="250" spans="1:5" ht="21.75">
      <c r="A250" s="7" t="s">
        <v>295</v>
      </c>
      <c r="B250" s="10" t="s">
        <v>274</v>
      </c>
      <c r="C250" s="8" t="s">
        <v>28</v>
      </c>
      <c r="D250" s="8" t="s">
        <v>28</v>
      </c>
      <c r="E250" s="82">
        <v>158900</v>
      </c>
    </row>
    <row r="251" spans="1:5" ht="21.75">
      <c r="A251" s="7" t="s">
        <v>296</v>
      </c>
      <c r="B251" s="10" t="s">
        <v>274</v>
      </c>
      <c r="C251" s="8" t="s">
        <v>28</v>
      </c>
      <c r="D251" s="8" t="s">
        <v>28</v>
      </c>
      <c r="E251" s="82">
        <v>840000</v>
      </c>
    </row>
    <row r="252" spans="1:5" ht="21.75">
      <c r="A252" s="7" t="s">
        <v>297</v>
      </c>
      <c r="B252" s="10"/>
      <c r="C252" s="8" t="s">
        <v>28</v>
      </c>
      <c r="D252" s="8" t="s">
        <v>28</v>
      </c>
      <c r="E252" s="82">
        <v>477000</v>
      </c>
    </row>
    <row r="253" spans="1:5" ht="21.75">
      <c r="A253" s="7" t="s">
        <v>298</v>
      </c>
      <c r="B253" s="10" t="s">
        <v>274</v>
      </c>
      <c r="C253" s="8" t="s">
        <v>28</v>
      </c>
      <c r="D253" s="8" t="s">
        <v>28</v>
      </c>
      <c r="E253" s="82">
        <v>45500</v>
      </c>
    </row>
    <row r="254" spans="1:5" ht="21.75">
      <c r="A254" s="7" t="s">
        <v>299</v>
      </c>
      <c r="B254" s="10"/>
      <c r="C254" s="8"/>
      <c r="D254" s="8"/>
      <c r="E254" s="23"/>
    </row>
    <row r="255" spans="1:5" ht="21.75">
      <c r="A255" s="7" t="s">
        <v>300</v>
      </c>
      <c r="B255" s="10" t="s">
        <v>274</v>
      </c>
      <c r="C255" s="8" t="s">
        <v>28</v>
      </c>
      <c r="D255" s="8" t="s">
        <v>28</v>
      </c>
      <c r="E255" s="82">
        <v>405000</v>
      </c>
    </row>
    <row r="256" spans="1:5" ht="21.75">
      <c r="A256" s="7" t="s">
        <v>301</v>
      </c>
      <c r="B256" s="10" t="s">
        <v>274</v>
      </c>
      <c r="C256" s="8" t="s">
        <v>28</v>
      </c>
      <c r="D256" s="8" t="s">
        <v>28</v>
      </c>
      <c r="E256" s="82">
        <v>143000</v>
      </c>
    </row>
    <row r="257" spans="1:5" ht="21.75">
      <c r="A257" s="7" t="s">
        <v>302</v>
      </c>
      <c r="B257" s="10"/>
      <c r="C257" s="8" t="s">
        <v>28</v>
      </c>
      <c r="D257" s="8" t="s">
        <v>28</v>
      </c>
      <c r="E257" s="82">
        <v>33000</v>
      </c>
    </row>
    <row r="258" spans="1:5" ht="21.75">
      <c r="A258" s="7" t="s">
        <v>303</v>
      </c>
      <c r="B258" s="10" t="s">
        <v>304</v>
      </c>
      <c r="C258" s="8" t="s">
        <v>28</v>
      </c>
      <c r="D258" s="8" t="s">
        <v>28</v>
      </c>
      <c r="E258" s="82">
        <v>196900</v>
      </c>
    </row>
    <row r="259" spans="1:5" ht="21.75">
      <c r="A259" s="7" t="s">
        <v>305</v>
      </c>
      <c r="B259" s="10"/>
      <c r="C259" s="8" t="s">
        <v>28</v>
      </c>
      <c r="D259" s="8" t="s">
        <v>28</v>
      </c>
      <c r="E259" s="82"/>
    </row>
    <row r="260" spans="1:5" ht="21.75">
      <c r="A260" s="7" t="s">
        <v>306</v>
      </c>
      <c r="B260" s="10" t="s">
        <v>274</v>
      </c>
      <c r="C260" s="8" t="s">
        <v>28</v>
      </c>
      <c r="D260" s="8" t="s">
        <v>28</v>
      </c>
      <c r="E260" s="82">
        <v>401900</v>
      </c>
    </row>
    <row r="261" spans="1:5" ht="21.75">
      <c r="A261" s="7" t="s">
        <v>307</v>
      </c>
      <c r="B261" s="10"/>
      <c r="C261" s="8"/>
      <c r="D261" s="8"/>
      <c r="E261" s="82"/>
    </row>
    <row r="262" spans="1:5" ht="21.75">
      <c r="A262" s="26" t="s">
        <v>63</v>
      </c>
      <c r="B262" s="16"/>
      <c r="C262" s="26" t="s">
        <v>28</v>
      </c>
      <c r="D262" s="26" t="s">
        <v>28</v>
      </c>
      <c r="E262" s="95" t="s">
        <v>28</v>
      </c>
    </row>
    <row r="263" spans="1:5" ht="21.75">
      <c r="A263" s="5" t="s">
        <v>64</v>
      </c>
      <c r="B263" s="36"/>
      <c r="C263" s="5" t="s">
        <v>28</v>
      </c>
      <c r="D263" s="5" t="s">
        <v>28</v>
      </c>
      <c r="E263" s="85" t="str">
        <f>E262</f>
        <v>-</v>
      </c>
    </row>
    <row r="264" spans="1:5" ht="21.75">
      <c r="A264" s="7" t="s">
        <v>308</v>
      </c>
      <c r="B264" s="10" t="s">
        <v>304</v>
      </c>
      <c r="C264" s="8" t="s">
        <v>28</v>
      </c>
      <c r="D264" s="8" t="s">
        <v>28</v>
      </c>
      <c r="E264" s="82">
        <v>245000</v>
      </c>
    </row>
    <row r="265" spans="1:5" ht="21.75">
      <c r="A265" s="7" t="s">
        <v>309</v>
      </c>
      <c r="B265" s="10" t="s">
        <v>274</v>
      </c>
      <c r="C265" s="8" t="s">
        <v>28</v>
      </c>
      <c r="D265" s="8" t="s">
        <v>28</v>
      </c>
      <c r="E265" s="82">
        <v>80000</v>
      </c>
    </row>
    <row r="266" spans="1:5" ht="21.75">
      <c r="A266" s="7" t="s">
        <v>310</v>
      </c>
      <c r="B266" s="10" t="s">
        <v>274</v>
      </c>
      <c r="C266" s="8" t="s">
        <v>28</v>
      </c>
      <c r="D266" s="8" t="s">
        <v>28</v>
      </c>
      <c r="E266" s="82">
        <v>238500</v>
      </c>
    </row>
    <row r="267" spans="1:5" ht="21.75">
      <c r="A267" s="7" t="s">
        <v>311</v>
      </c>
      <c r="B267" s="10"/>
      <c r="C267" s="8"/>
      <c r="D267" s="8"/>
      <c r="E267" s="23"/>
    </row>
    <row r="268" spans="1:5" ht="21.75">
      <c r="A268" s="7" t="s">
        <v>312</v>
      </c>
      <c r="B268" s="10" t="s">
        <v>274</v>
      </c>
      <c r="C268" s="8" t="s">
        <v>28</v>
      </c>
      <c r="D268" s="8" t="s">
        <v>28</v>
      </c>
      <c r="E268" s="82">
        <v>53000</v>
      </c>
    </row>
    <row r="269" spans="1:5" ht="21.75">
      <c r="A269" s="7" t="s">
        <v>313</v>
      </c>
      <c r="B269" s="10" t="s">
        <v>274</v>
      </c>
      <c r="C269" s="8" t="s">
        <v>28</v>
      </c>
      <c r="D269" s="8" t="s">
        <v>28</v>
      </c>
      <c r="E269" s="82">
        <v>100000</v>
      </c>
    </row>
    <row r="270" spans="1:5" ht="21.75">
      <c r="A270" s="7" t="s">
        <v>228</v>
      </c>
      <c r="B270" s="10"/>
      <c r="C270" s="7"/>
      <c r="D270" s="7"/>
      <c r="E270" s="82"/>
    </row>
    <row r="271" spans="1:5" ht="21.75">
      <c r="A271" s="48" t="s">
        <v>314</v>
      </c>
      <c r="B271" s="26"/>
      <c r="C271" s="21">
        <f>C185+C177+C100+C98+C90</f>
        <v>1654001.5899999999</v>
      </c>
      <c r="D271" s="21">
        <f>C271</f>
        <v>1654001.5899999999</v>
      </c>
      <c r="E271" s="81">
        <f>E214+E185+E177+E157+E110+E101+E98+E90+E84</f>
        <v>24314021</v>
      </c>
    </row>
    <row r="272" spans="1:5" ht="21.75">
      <c r="A272" s="49"/>
      <c r="B272" s="50"/>
      <c r="C272" s="51"/>
      <c r="D272" s="51"/>
      <c r="E272" s="52"/>
    </row>
    <row r="273" spans="1:5" ht="21.75">
      <c r="A273" s="22"/>
      <c r="B273" s="22"/>
      <c r="C273" s="22"/>
      <c r="D273" s="22"/>
      <c r="E273" s="53"/>
    </row>
    <row r="274" spans="1:5" ht="21.75">
      <c r="A274" s="22"/>
      <c r="B274" s="20"/>
      <c r="C274" s="22"/>
      <c r="D274" s="22"/>
      <c r="E274" s="54"/>
    </row>
    <row r="275" spans="1:5" ht="21.75">
      <c r="A275" s="22"/>
      <c r="B275" s="20"/>
      <c r="C275" s="22"/>
      <c r="D275" s="22"/>
      <c r="E275" s="54"/>
    </row>
    <row r="276" spans="1:5" ht="21.75">
      <c r="A276" s="22"/>
      <c r="B276" s="22"/>
      <c r="C276" s="22"/>
      <c r="D276" s="22"/>
      <c r="E276" s="54"/>
    </row>
    <row r="277" spans="1:5" ht="21.75">
      <c r="A277" s="22"/>
      <c r="B277" s="22"/>
      <c r="C277" s="22"/>
      <c r="D277" s="22"/>
      <c r="E277" s="54"/>
    </row>
    <row r="278" spans="1:5" ht="21.75">
      <c r="A278" s="22"/>
      <c r="B278" s="22"/>
      <c r="C278" s="22"/>
      <c r="D278" s="22"/>
      <c r="E278" s="54"/>
    </row>
    <row r="279" spans="1:5" ht="21.75">
      <c r="A279" s="22"/>
      <c r="B279" s="22"/>
      <c r="C279" s="22"/>
      <c r="D279" s="22"/>
      <c r="E279" s="54"/>
    </row>
    <row r="280" spans="1:5" ht="21.75">
      <c r="A280" s="22"/>
      <c r="B280" s="22"/>
      <c r="C280" s="22"/>
      <c r="D280" s="22"/>
      <c r="E280" s="54"/>
    </row>
    <row r="281" spans="1:5" ht="21.75">
      <c r="A281" s="22"/>
      <c r="B281" s="22"/>
      <c r="C281" s="22"/>
      <c r="D281" s="22"/>
      <c r="E281" s="54"/>
    </row>
    <row r="282" spans="1:5" ht="21.75">
      <c r="A282" s="22"/>
      <c r="B282" s="22"/>
      <c r="C282" s="22"/>
      <c r="D282" s="22"/>
      <c r="E282" s="54"/>
    </row>
    <row r="283" spans="1:5" ht="21.75">
      <c r="A283" s="22"/>
      <c r="B283" s="22"/>
      <c r="C283" s="22"/>
      <c r="D283" s="22"/>
      <c r="E283" s="54"/>
    </row>
    <row r="284" spans="1:5" ht="21.75">
      <c r="A284" s="22"/>
      <c r="B284" s="22"/>
      <c r="C284" s="22"/>
      <c r="D284" s="22"/>
      <c r="E284" s="54"/>
    </row>
  </sheetData>
  <sheetProtection/>
  <mergeCells count="6">
    <mergeCell ref="A78:F78"/>
    <mergeCell ref="A79:F79"/>
    <mergeCell ref="A1:F1"/>
    <mergeCell ref="A2:F2"/>
    <mergeCell ref="A3:F3"/>
    <mergeCell ref="A77:F77"/>
  </mergeCells>
  <printOptions/>
  <pageMargins left="0.1968503937007874" right="0.1968503937007874" top="0.3937007874015748" bottom="0.4330708661417323" header="0.31496062992125984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1"/>
  <sheetViews>
    <sheetView view="pageBreakPreview" zoomScale="60" zoomScalePageLayoutView="0" workbookViewId="0" topLeftCell="A1">
      <selection activeCell="K21" sqref="A1:K21"/>
    </sheetView>
  </sheetViews>
  <sheetFormatPr defaultColWidth="9.140625" defaultRowHeight="21.75"/>
  <cols>
    <col min="1" max="10" width="9.140625" style="89" customWidth="1"/>
    <col min="11" max="11" width="5.8515625" style="89" customWidth="1"/>
    <col min="12" max="16384" width="9.140625" style="89" customWidth="1"/>
  </cols>
  <sheetData>
    <row r="3" spans="1:11" ht="24">
      <c r="A3" s="102" t="s">
        <v>351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24">
      <c r="A4" s="102" t="s">
        <v>365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6" spans="1:11" ht="24">
      <c r="A6" s="102" t="s">
        <v>353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8" ht="24">
      <c r="C8" s="89" t="s">
        <v>354</v>
      </c>
    </row>
    <row r="9" ht="24">
      <c r="A9" s="89" t="s">
        <v>355</v>
      </c>
    </row>
    <row r="10" ht="24">
      <c r="A10" s="89" t="s">
        <v>356</v>
      </c>
    </row>
    <row r="11" ht="24">
      <c r="A11" s="89" t="s">
        <v>357</v>
      </c>
    </row>
    <row r="12" ht="24">
      <c r="A12" s="89" t="s">
        <v>358</v>
      </c>
    </row>
    <row r="14" ht="24">
      <c r="C14" s="89" t="s">
        <v>359</v>
      </c>
    </row>
    <row r="15" ht="24">
      <c r="A15" s="89" t="s">
        <v>364</v>
      </c>
    </row>
    <row r="17" ht="24">
      <c r="C17" s="89" t="s">
        <v>369</v>
      </c>
    </row>
    <row r="20" spans="6:9" ht="24">
      <c r="F20" s="102" t="s">
        <v>362</v>
      </c>
      <c r="G20" s="102"/>
      <c r="H20" s="102"/>
      <c r="I20" s="102"/>
    </row>
    <row r="21" spans="6:9" ht="24">
      <c r="F21" s="102" t="s">
        <v>363</v>
      </c>
      <c r="G21" s="102"/>
      <c r="H21" s="102"/>
      <c r="I21" s="102"/>
    </row>
  </sheetData>
  <sheetProtection/>
  <mergeCells count="5">
    <mergeCell ref="F21:I21"/>
    <mergeCell ref="A3:K3"/>
    <mergeCell ref="A4:K4"/>
    <mergeCell ref="A6:K6"/>
    <mergeCell ref="F20:I20"/>
  </mergeCells>
  <printOptions/>
  <pageMargins left="0.9448818897637796" right="0.4724409448818898" top="0.984251968503937" bottom="0.787401574803149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1"/>
  <sheetViews>
    <sheetView view="pageBreakPreview" zoomScale="80" zoomScaleSheetLayoutView="80" zoomScalePageLayoutView="0" workbookViewId="0" topLeftCell="A243">
      <selection activeCell="G7" sqref="G7"/>
    </sheetView>
  </sheetViews>
  <sheetFormatPr defaultColWidth="9.140625" defaultRowHeight="21.75"/>
  <cols>
    <col min="1" max="1" width="49.57421875" style="0" customWidth="1"/>
    <col min="2" max="2" width="8.421875" style="0" customWidth="1"/>
    <col min="3" max="3" width="16.28125" style="0" customWidth="1"/>
    <col min="4" max="4" width="15.57421875" style="0" customWidth="1"/>
    <col min="5" max="5" width="17.7109375" style="0" customWidth="1"/>
  </cols>
  <sheetData>
    <row r="1" spans="1:5" s="1" customFormat="1" ht="21">
      <c r="A1" s="103" t="s">
        <v>0</v>
      </c>
      <c r="B1" s="103"/>
      <c r="C1" s="103"/>
      <c r="D1" s="103"/>
      <c r="E1" s="103"/>
    </row>
    <row r="2" spans="1:5" s="1" customFormat="1" ht="21">
      <c r="A2" s="103" t="s">
        <v>1</v>
      </c>
      <c r="B2" s="103"/>
      <c r="C2" s="103"/>
      <c r="D2" s="103"/>
      <c r="E2" s="103"/>
    </row>
    <row r="3" spans="1:5" s="1" customFormat="1" ht="21">
      <c r="A3" s="104" t="s">
        <v>315</v>
      </c>
      <c r="B3" s="104"/>
      <c r="C3" s="104"/>
      <c r="D3" s="104"/>
      <c r="E3" s="104"/>
    </row>
    <row r="4" spans="1:5" s="1" customFormat="1" ht="21">
      <c r="A4" s="2"/>
      <c r="B4" s="2"/>
      <c r="C4" s="2"/>
      <c r="D4" s="2"/>
      <c r="E4" s="2"/>
    </row>
    <row r="5" spans="1:5" s="1" customFormat="1" ht="2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</row>
    <row r="6" spans="1:5" ht="21.75">
      <c r="A6" s="4" t="s">
        <v>8</v>
      </c>
      <c r="B6" s="5"/>
      <c r="C6" s="71">
        <f>C7+C23</f>
        <v>4099191.98</v>
      </c>
      <c r="D6" s="71">
        <f>D7+D23+D51</f>
        <v>9089142.100000001</v>
      </c>
      <c r="E6" s="71">
        <f>E7+E23+E48+E50</f>
        <v>24000000</v>
      </c>
    </row>
    <row r="7" spans="1:5" ht="21.75">
      <c r="A7" s="4" t="s">
        <v>9</v>
      </c>
      <c r="B7" s="8"/>
      <c r="C7" s="9">
        <f>C8</f>
        <v>3666687.66</v>
      </c>
      <c r="D7" s="9">
        <f>D8</f>
        <v>5893188.490000001</v>
      </c>
      <c r="E7" s="9">
        <v>15933000</v>
      </c>
    </row>
    <row r="8" spans="1:5" ht="21.75">
      <c r="A8" s="4" t="s">
        <v>10</v>
      </c>
      <c r="B8" s="10" t="s">
        <v>11</v>
      </c>
      <c r="C8" s="9">
        <f>C9+C10+C11+C12+C13+C14+C15+C16+C17+C19</f>
        <v>3666687.66</v>
      </c>
      <c r="D8" s="9">
        <f>D9+D10+D11+D12+D13+D14+D15+D16+D17+D19+D20+D22</f>
        <v>5893188.490000001</v>
      </c>
      <c r="E8" s="9">
        <f>E9+E10+E11+E12+E13+E14+E15+E16+E17+E19+E20+E21+E22</f>
        <v>15933000</v>
      </c>
    </row>
    <row r="9" spans="1:5" ht="21.75">
      <c r="A9" s="7" t="s">
        <v>12</v>
      </c>
      <c r="B9" s="10" t="s">
        <v>13</v>
      </c>
      <c r="C9" s="11">
        <v>27900.56</v>
      </c>
      <c r="D9" s="11">
        <v>54318.39</v>
      </c>
      <c r="E9" s="11">
        <v>75000</v>
      </c>
    </row>
    <row r="10" spans="1:5" ht="21.75">
      <c r="A10" s="7" t="s">
        <v>14</v>
      </c>
      <c r="B10" s="10" t="s">
        <v>15</v>
      </c>
      <c r="C10" s="11">
        <v>568566.05</v>
      </c>
      <c r="D10" s="11">
        <v>570699.05</v>
      </c>
      <c r="E10" s="11">
        <v>800000</v>
      </c>
    </row>
    <row r="11" spans="1:5" ht="21.75">
      <c r="A11" s="7" t="s">
        <v>16</v>
      </c>
      <c r="B11" s="10" t="s">
        <v>17</v>
      </c>
      <c r="C11" s="11">
        <v>73713</v>
      </c>
      <c r="D11" s="11">
        <v>73913</v>
      </c>
      <c r="E11" s="11">
        <v>90000</v>
      </c>
    </row>
    <row r="12" spans="1:5" ht="21.75">
      <c r="A12" s="7" t="s">
        <v>18</v>
      </c>
      <c r="B12" s="10" t="s">
        <v>19</v>
      </c>
      <c r="C12" s="11">
        <v>8846</v>
      </c>
      <c r="D12" s="11">
        <v>12558</v>
      </c>
      <c r="E12" s="11">
        <v>20000</v>
      </c>
    </row>
    <row r="13" spans="1:5" ht="21.75">
      <c r="A13" s="7" t="s">
        <v>20</v>
      </c>
      <c r="B13" s="10" t="s">
        <v>21</v>
      </c>
      <c r="C13" s="11">
        <v>246608.78</v>
      </c>
      <c r="D13" s="11">
        <v>342145.16</v>
      </c>
      <c r="E13" s="11">
        <v>500000</v>
      </c>
    </row>
    <row r="14" spans="1:5" ht="21.75">
      <c r="A14" s="7" t="s">
        <v>22</v>
      </c>
      <c r="B14" s="10" t="s">
        <v>23</v>
      </c>
      <c r="C14" s="11">
        <v>1318362.55</v>
      </c>
      <c r="D14" s="11">
        <v>2304428.96</v>
      </c>
      <c r="E14" s="11">
        <v>2228000</v>
      </c>
    </row>
    <row r="15" spans="1:5" ht="21.75">
      <c r="A15" s="7" t="s">
        <v>24</v>
      </c>
      <c r="B15" s="10" t="s">
        <v>25</v>
      </c>
      <c r="C15" s="11">
        <v>820108</v>
      </c>
      <c r="D15" s="11">
        <v>1015220</v>
      </c>
      <c r="E15" s="11">
        <v>5000000</v>
      </c>
    </row>
    <row r="16" spans="1:5" ht="21.75">
      <c r="A16" s="7" t="s">
        <v>26</v>
      </c>
      <c r="B16" s="10" t="s">
        <v>27</v>
      </c>
      <c r="C16" s="12">
        <v>2060</v>
      </c>
      <c r="D16" s="12">
        <v>2060</v>
      </c>
      <c r="E16" s="11">
        <v>5000</v>
      </c>
    </row>
    <row r="17" spans="1:5" ht="21.75">
      <c r="A17" s="7" t="s">
        <v>29</v>
      </c>
      <c r="B17" s="10" t="s">
        <v>30</v>
      </c>
      <c r="C17" s="12">
        <v>300</v>
      </c>
      <c r="D17" s="12">
        <v>300</v>
      </c>
      <c r="E17" s="11">
        <v>15000</v>
      </c>
    </row>
    <row r="18" spans="1:5" ht="21.75">
      <c r="A18" s="7" t="s">
        <v>31</v>
      </c>
      <c r="B18" s="10" t="s">
        <v>32</v>
      </c>
      <c r="C18" s="12" t="s">
        <v>28</v>
      </c>
      <c r="D18" s="12" t="s">
        <v>28</v>
      </c>
      <c r="E18" s="12" t="s">
        <v>28</v>
      </c>
    </row>
    <row r="19" spans="1:5" ht="21.75">
      <c r="A19" s="7" t="s">
        <v>33</v>
      </c>
      <c r="B19" s="10" t="s">
        <v>34</v>
      </c>
      <c r="C19" s="11">
        <v>600222.72</v>
      </c>
      <c r="D19" s="11">
        <v>1501791.36</v>
      </c>
      <c r="E19" s="11">
        <v>7000000</v>
      </c>
    </row>
    <row r="20" spans="1:5" ht="21.75">
      <c r="A20" s="7" t="s">
        <v>35</v>
      </c>
      <c r="B20" s="10" t="s">
        <v>36</v>
      </c>
      <c r="C20" s="12" t="s">
        <v>28</v>
      </c>
      <c r="D20" s="12">
        <v>7427.5</v>
      </c>
      <c r="E20" s="11">
        <v>80000</v>
      </c>
    </row>
    <row r="21" spans="1:5" ht="21.75">
      <c r="A21" s="7" t="s">
        <v>37</v>
      </c>
      <c r="B21" s="10" t="s">
        <v>38</v>
      </c>
      <c r="C21" s="12" t="s">
        <v>28</v>
      </c>
      <c r="D21" s="12" t="s">
        <v>28</v>
      </c>
      <c r="E21" s="11">
        <v>20000</v>
      </c>
    </row>
    <row r="22" spans="1:5" ht="21.75">
      <c r="A22" s="7" t="s">
        <v>39</v>
      </c>
      <c r="B22" s="10" t="s">
        <v>40</v>
      </c>
      <c r="C22" s="35" t="s">
        <v>28</v>
      </c>
      <c r="D22" s="35">
        <v>8327.07</v>
      </c>
      <c r="E22" s="11">
        <v>100000</v>
      </c>
    </row>
    <row r="23" spans="1:5" ht="21.75">
      <c r="A23" s="4" t="s">
        <v>41</v>
      </c>
      <c r="B23" s="10"/>
      <c r="C23" s="73">
        <f>C24+C40+C43+C45</f>
        <v>432504.32</v>
      </c>
      <c r="D23" s="73">
        <f>D24+D40+D43+D45</f>
        <v>857882.6099999999</v>
      </c>
      <c r="E23" s="9">
        <f>E24+E40+E43+E45</f>
        <v>1052000</v>
      </c>
    </row>
    <row r="24" spans="1:5" ht="21.75">
      <c r="A24" s="4" t="s">
        <v>42</v>
      </c>
      <c r="B24" s="10" t="s">
        <v>43</v>
      </c>
      <c r="C24" s="9">
        <f>C26+C27+C29+C30+C31+C35</f>
        <v>286187.91000000003</v>
      </c>
      <c r="D24" s="9">
        <f>D26+D27+D29+D30+D31+D33+D35+D36</f>
        <v>645999.9099999999</v>
      </c>
      <c r="E24" s="9">
        <f>E26+E27+E28+E29+E30+E31+E32+E33+E34+E37</f>
        <v>543000</v>
      </c>
    </row>
    <row r="25" spans="1:5" ht="21.75">
      <c r="A25" s="7" t="s">
        <v>44</v>
      </c>
      <c r="B25" s="10"/>
      <c r="C25" s="11"/>
      <c r="D25" s="11"/>
      <c r="E25" s="11"/>
    </row>
    <row r="26" spans="1:5" ht="21.75">
      <c r="A26" s="7" t="s">
        <v>45</v>
      </c>
      <c r="B26" s="10" t="s">
        <v>46</v>
      </c>
      <c r="C26" s="11">
        <v>15754.91</v>
      </c>
      <c r="D26" s="11">
        <v>22567.91</v>
      </c>
      <c r="E26" s="11">
        <v>40000</v>
      </c>
    </row>
    <row r="27" spans="1:5" ht="21.75">
      <c r="A27" s="7" t="s">
        <v>47</v>
      </c>
      <c r="B27" s="10" t="s">
        <v>48</v>
      </c>
      <c r="C27" s="11">
        <v>203556</v>
      </c>
      <c r="D27" s="11">
        <v>499716</v>
      </c>
      <c r="E27" s="11">
        <v>200000</v>
      </c>
    </row>
    <row r="28" spans="1:5" ht="21.75">
      <c r="A28" s="7" t="s">
        <v>49</v>
      </c>
      <c r="B28" s="10" t="s">
        <v>50</v>
      </c>
      <c r="C28" s="12" t="s">
        <v>28</v>
      </c>
      <c r="D28" s="74" t="s">
        <v>28</v>
      </c>
      <c r="E28" s="11">
        <v>2000</v>
      </c>
    </row>
    <row r="29" spans="1:5" ht="21.75">
      <c r="A29" s="7" t="s">
        <v>51</v>
      </c>
      <c r="B29" s="10" t="s">
        <v>52</v>
      </c>
      <c r="C29" s="11">
        <v>370</v>
      </c>
      <c r="D29" s="12">
        <v>890</v>
      </c>
      <c r="E29" s="11">
        <v>1500</v>
      </c>
    </row>
    <row r="30" spans="1:5" ht="21.75">
      <c r="A30" s="7" t="s">
        <v>53</v>
      </c>
      <c r="B30" s="10" t="s">
        <v>54</v>
      </c>
      <c r="C30" s="11">
        <v>8245</v>
      </c>
      <c r="D30" s="11">
        <v>14564</v>
      </c>
      <c r="E30" s="11">
        <v>4500</v>
      </c>
    </row>
    <row r="31" spans="1:5" ht="21.75">
      <c r="A31" s="7" t="s">
        <v>55</v>
      </c>
      <c r="B31" s="10" t="s">
        <v>56</v>
      </c>
      <c r="C31" s="11">
        <v>55962</v>
      </c>
      <c r="D31" s="11">
        <v>101012</v>
      </c>
      <c r="E31" s="11">
        <v>200000</v>
      </c>
    </row>
    <row r="32" spans="1:5" ht="21.75">
      <c r="A32" s="7" t="s">
        <v>57</v>
      </c>
      <c r="B32" s="10" t="s">
        <v>60</v>
      </c>
      <c r="C32" s="12" t="s">
        <v>28</v>
      </c>
      <c r="D32" s="12" t="s">
        <v>28</v>
      </c>
      <c r="E32" s="11">
        <v>20000</v>
      </c>
    </row>
    <row r="33" spans="1:5" ht="21.75">
      <c r="A33" s="7" t="s">
        <v>59</v>
      </c>
      <c r="B33" s="10" t="s">
        <v>62</v>
      </c>
      <c r="C33" s="8" t="s">
        <v>28</v>
      </c>
      <c r="D33" s="55">
        <v>2500</v>
      </c>
      <c r="E33" s="11">
        <v>50000</v>
      </c>
    </row>
    <row r="34" spans="1:5" ht="21.75">
      <c r="A34" s="7" t="s">
        <v>61</v>
      </c>
      <c r="B34" s="10" t="s">
        <v>66</v>
      </c>
      <c r="C34" s="12" t="s">
        <v>28</v>
      </c>
      <c r="D34" s="12" t="s">
        <v>28</v>
      </c>
      <c r="E34" s="11">
        <v>5000</v>
      </c>
    </row>
    <row r="35" spans="1:5" ht="21.75">
      <c r="A35" s="7" t="s">
        <v>339</v>
      </c>
      <c r="B35" s="10" t="s">
        <v>338</v>
      </c>
      <c r="C35" s="11">
        <v>2300</v>
      </c>
      <c r="D35" s="11">
        <v>3750</v>
      </c>
      <c r="E35" s="12" t="s">
        <v>28</v>
      </c>
    </row>
    <row r="36" spans="1:5" ht="21.75">
      <c r="A36" s="7" t="s">
        <v>341</v>
      </c>
      <c r="B36" s="10" t="s">
        <v>340</v>
      </c>
      <c r="C36" s="12" t="s">
        <v>28</v>
      </c>
      <c r="D36" s="11">
        <v>1000</v>
      </c>
      <c r="E36" s="12" t="s">
        <v>28</v>
      </c>
    </row>
    <row r="37" spans="1:5" ht="21.75">
      <c r="A37" s="7" t="s">
        <v>342</v>
      </c>
      <c r="B37" s="10" t="s">
        <v>343</v>
      </c>
      <c r="C37" s="12" t="s">
        <v>28</v>
      </c>
      <c r="D37" s="11"/>
      <c r="E37" s="11">
        <v>20000</v>
      </c>
    </row>
    <row r="38" spans="1:5" ht="21.75">
      <c r="A38" s="15" t="s">
        <v>63</v>
      </c>
      <c r="B38" s="16"/>
      <c r="C38" s="17">
        <f>C35+C31+C30+C29+C27+C26</f>
        <v>286187.91</v>
      </c>
      <c r="D38" s="17">
        <f>SUM(D26:D37)</f>
        <v>645999.9099999999</v>
      </c>
      <c r="E38" s="13">
        <f>SUM(E26:E37)</f>
        <v>543000</v>
      </c>
    </row>
    <row r="39" spans="1:5" ht="21.75">
      <c r="A39" s="5" t="s">
        <v>64</v>
      </c>
      <c r="B39" s="5"/>
      <c r="C39" s="18">
        <f>C38</f>
        <v>286187.91</v>
      </c>
      <c r="D39" s="18">
        <f>D38</f>
        <v>645999.9099999999</v>
      </c>
      <c r="E39" s="19">
        <f>E38</f>
        <v>543000</v>
      </c>
    </row>
    <row r="40" spans="1:5" ht="21.75">
      <c r="A40" s="4" t="s">
        <v>67</v>
      </c>
      <c r="B40" s="10" t="s">
        <v>68</v>
      </c>
      <c r="C40" s="21">
        <f>C41</f>
        <v>25852.41</v>
      </c>
      <c r="D40" s="21">
        <f>D41</f>
        <v>28918.7</v>
      </c>
      <c r="E40" s="9">
        <f>E41+E42</f>
        <v>50000</v>
      </c>
    </row>
    <row r="41" spans="1:5" ht="21.75">
      <c r="A41" s="7" t="s">
        <v>69</v>
      </c>
      <c r="B41" s="10" t="s">
        <v>70</v>
      </c>
      <c r="C41" s="11">
        <f>25852.41</f>
        <v>25852.41</v>
      </c>
      <c r="D41" s="11">
        <v>28918.7</v>
      </c>
      <c r="E41" s="11">
        <v>45000</v>
      </c>
    </row>
    <row r="42" spans="1:5" ht="21.75">
      <c r="A42" s="7" t="s">
        <v>71</v>
      </c>
      <c r="B42" s="10" t="s">
        <v>72</v>
      </c>
      <c r="C42" s="12" t="s">
        <v>28</v>
      </c>
      <c r="D42" s="12" t="s">
        <v>28</v>
      </c>
      <c r="E42" s="11">
        <v>5000</v>
      </c>
    </row>
    <row r="43" spans="1:5" ht="21.75">
      <c r="A43" s="4" t="s">
        <v>73</v>
      </c>
      <c r="B43" s="10" t="s">
        <v>74</v>
      </c>
      <c r="C43" s="9">
        <f>C44</f>
        <v>51000</v>
      </c>
      <c r="D43" s="9">
        <f>D44</f>
        <v>102000</v>
      </c>
      <c r="E43" s="9">
        <f>E44</f>
        <v>204000</v>
      </c>
    </row>
    <row r="44" spans="1:5" ht="21.75">
      <c r="A44" s="7" t="s">
        <v>75</v>
      </c>
      <c r="B44" s="10" t="s">
        <v>76</v>
      </c>
      <c r="C44" s="14">
        <v>51000</v>
      </c>
      <c r="D44" s="14">
        <v>102000</v>
      </c>
      <c r="E44" s="14">
        <v>204000</v>
      </c>
    </row>
    <row r="45" spans="1:5" ht="21.75">
      <c r="A45" s="4" t="s">
        <v>77</v>
      </c>
      <c r="B45" s="10" t="s">
        <v>78</v>
      </c>
      <c r="C45" s="9">
        <f>C46+C47</f>
        <v>69464</v>
      </c>
      <c r="D45" s="9">
        <f>D46+D47</f>
        <v>80964</v>
      </c>
      <c r="E45" s="9">
        <f>E46+E47</f>
        <v>255000</v>
      </c>
    </row>
    <row r="46" spans="1:5" ht="21.75">
      <c r="A46" s="7" t="s">
        <v>79</v>
      </c>
      <c r="B46" s="10" t="s">
        <v>80</v>
      </c>
      <c r="C46" s="11">
        <v>68364</v>
      </c>
      <c r="D46" s="11">
        <v>79864</v>
      </c>
      <c r="E46" s="11">
        <v>250000</v>
      </c>
    </row>
    <row r="47" spans="1:5" ht="21.75">
      <c r="A47" s="7" t="s">
        <v>81</v>
      </c>
      <c r="B47" s="10" t="s">
        <v>82</v>
      </c>
      <c r="C47" s="11">
        <v>1100</v>
      </c>
      <c r="D47" s="11">
        <f>C47</f>
        <v>1100</v>
      </c>
      <c r="E47" s="11">
        <v>5000</v>
      </c>
    </row>
    <row r="48" spans="1:5" ht="21.75">
      <c r="A48" s="4" t="s">
        <v>83</v>
      </c>
      <c r="B48" s="10" t="s">
        <v>84</v>
      </c>
      <c r="C48" s="24" t="s">
        <v>28</v>
      </c>
      <c r="D48" s="24" t="s">
        <v>28</v>
      </c>
      <c r="E48" s="9">
        <v>10000</v>
      </c>
    </row>
    <row r="49" spans="1:5" ht="21.75">
      <c r="A49" s="7" t="s">
        <v>85</v>
      </c>
      <c r="B49" s="10" t="s">
        <v>86</v>
      </c>
      <c r="C49" s="24" t="s">
        <v>28</v>
      </c>
      <c r="D49" s="24" t="s">
        <v>28</v>
      </c>
      <c r="E49" s="11">
        <v>10000</v>
      </c>
    </row>
    <row r="50" spans="1:5" ht="21.75">
      <c r="A50" s="4" t="s">
        <v>87</v>
      </c>
      <c r="B50" s="10"/>
      <c r="C50" s="24" t="s">
        <v>28</v>
      </c>
      <c r="D50" s="24">
        <f>D51</f>
        <v>2338071</v>
      </c>
      <c r="E50" s="9">
        <f>E51+E52</f>
        <v>7005000</v>
      </c>
    </row>
    <row r="51" spans="1:5" ht="21.75">
      <c r="A51" s="7" t="s">
        <v>88</v>
      </c>
      <c r="B51" s="10" t="s">
        <v>89</v>
      </c>
      <c r="C51" s="12" t="s">
        <v>28</v>
      </c>
      <c r="D51" s="12">
        <v>2338071</v>
      </c>
      <c r="E51" s="11">
        <v>7000000</v>
      </c>
    </row>
    <row r="52" spans="1:5" ht="21.75">
      <c r="A52" s="7" t="s">
        <v>90</v>
      </c>
      <c r="B52" s="10" t="s">
        <v>91</v>
      </c>
      <c r="C52" s="12" t="s">
        <v>28</v>
      </c>
      <c r="D52" s="12" t="s">
        <v>28</v>
      </c>
      <c r="E52" s="11">
        <v>5000</v>
      </c>
    </row>
    <row r="53" spans="1:5" ht="21.75">
      <c r="A53" s="7"/>
      <c r="B53" s="10"/>
      <c r="C53" s="11"/>
      <c r="D53" s="11"/>
      <c r="E53" s="11"/>
    </row>
    <row r="54" spans="1:5" ht="21.75">
      <c r="A54" s="25" t="s">
        <v>92</v>
      </c>
      <c r="B54" s="26"/>
      <c r="C54" s="27">
        <f>C23+C7</f>
        <v>4099191.98</v>
      </c>
      <c r="D54" s="75">
        <f>D23+D7+D51</f>
        <v>9089142.100000001</v>
      </c>
      <c r="E54" s="27">
        <f>E50+E48+E45+E43+E40+E24+E8</f>
        <v>24000000</v>
      </c>
    </row>
    <row r="55" spans="1:5" ht="21.75">
      <c r="A55" s="28"/>
      <c r="B55" s="20"/>
      <c r="C55" s="29"/>
      <c r="D55" s="29"/>
      <c r="E55" s="29"/>
    </row>
    <row r="56" spans="1:5" ht="21.75">
      <c r="A56" s="28"/>
      <c r="B56" s="20"/>
      <c r="C56" s="29"/>
      <c r="D56" s="29"/>
      <c r="E56" s="29"/>
    </row>
    <row r="57" spans="1:5" ht="21.75">
      <c r="A57" s="28"/>
      <c r="B57" s="20"/>
      <c r="C57" s="29"/>
      <c r="D57" s="29"/>
      <c r="E57" s="29"/>
    </row>
    <row r="58" spans="1:5" ht="21.75">
      <c r="A58" s="28"/>
      <c r="B58" s="20"/>
      <c r="C58" s="29"/>
      <c r="D58" s="29"/>
      <c r="E58" s="29"/>
    </row>
    <row r="59" spans="1:5" ht="21.75">
      <c r="A59" s="28"/>
      <c r="B59" s="20"/>
      <c r="C59" s="29"/>
      <c r="D59" s="29"/>
      <c r="E59" s="29"/>
    </row>
    <row r="60" spans="1:5" ht="21.75">
      <c r="A60" s="28"/>
      <c r="B60" s="20"/>
      <c r="C60" s="29"/>
      <c r="D60" s="29"/>
      <c r="E60" s="29"/>
    </row>
    <row r="61" spans="1:5" ht="21.75">
      <c r="A61" s="28"/>
      <c r="B61" s="20"/>
      <c r="C61" s="29"/>
      <c r="D61" s="29"/>
      <c r="E61" s="29"/>
    </row>
    <row r="62" spans="1:5" ht="21.75">
      <c r="A62" s="28"/>
      <c r="B62" s="20"/>
      <c r="C62" s="29"/>
      <c r="D62" s="29"/>
      <c r="E62" s="29"/>
    </row>
    <row r="63" spans="1:5" ht="21.75">
      <c r="A63" s="28"/>
      <c r="B63" s="20"/>
      <c r="C63" s="29"/>
      <c r="D63" s="29"/>
      <c r="E63" s="29"/>
    </row>
    <row r="64" spans="1:5" ht="21.75">
      <c r="A64" s="28"/>
      <c r="B64" s="20"/>
      <c r="C64" s="29"/>
      <c r="D64" s="29"/>
      <c r="E64" s="29"/>
    </row>
    <row r="65" spans="1:5" ht="21.75">
      <c r="A65" s="28"/>
      <c r="B65" s="20"/>
      <c r="C65" s="29"/>
      <c r="D65" s="29"/>
      <c r="E65" s="29"/>
    </row>
    <row r="66" spans="1:5" ht="21.75">
      <c r="A66" s="28"/>
      <c r="B66" s="20"/>
      <c r="C66" s="29"/>
      <c r="D66" s="29"/>
      <c r="E66" s="29"/>
    </row>
    <row r="67" spans="1:5" ht="21.75">
      <c r="A67" s="28"/>
      <c r="B67" s="20"/>
      <c r="C67" s="29"/>
      <c r="D67" s="29"/>
      <c r="E67" s="29"/>
    </row>
    <row r="68" spans="1:5" ht="21.75">
      <c r="A68" s="28"/>
      <c r="B68" s="20"/>
      <c r="C68" s="29"/>
      <c r="D68" s="29"/>
      <c r="E68" s="29"/>
    </row>
    <row r="69" spans="1:5" ht="21.75">
      <c r="A69" s="28"/>
      <c r="B69" s="20"/>
      <c r="C69" s="29"/>
      <c r="D69" s="29"/>
      <c r="E69" s="29"/>
    </row>
    <row r="70" spans="1:5" ht="21.75">
      <c r="A70" s="28"/>
      <c r="B70" s="20"/>
      <c r="C70" s="29"/>
      <c r="D70" s="29"/>
      <c r="E70" s="29"/>
    </row>
    <row r="71" spans="1:5" ht="21.75">
      <c r="A71" s="28"/>
      <c r="B71" s="20"/>
      <c r="C71" s="29"/>
      <c r="D71" s="29"/>
      <c r="E71" s="29"/>
    </row>
    <row r="72" spans="1:5" ht="21.75">
      <c r="A72" s="28"/>
      <c r="B72" s="20"/>
      <c r="C72" s="29"/>
      <c r="D72" s="29"/>
      <c r="E72" s="29"/>
    </row>
    <row r="73" spans="1:5" ht="21.75">
      <c r="A73" s="28"/>
      <c r="B73" s="20"/>
      <c r="C73" s="29"/>
      <c r="D73" s="29"/>
      <c r="E73" s="29"/>
    </row>
    <row r="74" spans="1:5" ht="21.75">
      <c r="A74" s="28"/>
      <c r="B74" s="20"/>
      <c r="C74" s="29"/>
      <c r="D74" s="29"/>
      <c r="E74" s="29"/>
    </row>
    <row r="75" spans="1:5" ht="21.75">
      <c r="A75" s="28"/>
      <c r="B75" s="20"/>
      <c r="C75" s="29"/>
      <c r="D75" s="29"/>
      <c r="E75" s="29"/>
    </row>
    <row r="76" spans="1:5" ht="21.75">
      <c r="A76" s="28"/>
      <c r="B76" s="20"/>
      <c r="C76" s="29"/>
      <c r="D76" s="29"/>
      <c r="E76" s="29"/>
    </row>
    <row r="77" spans="1:5" s="1" customFormat="1" ht="21">
      <c r="A77" s="103" t="s">
        <v>0</v>
      </c>
      <c r="B77" s="103"/>
      <c r="C77" s="103"/>
      <c r="D77" s="103"/>
      <c r="E77" s="103"/>
    </row>
    <row r="78" spans="1:5" s="1" customFormat="1" ht="21">
      <c r="A78" s="103" t="s">
        <v>1</v>
      </c>
      <c r="B78" s="103"/>
      <c r="C78" s="103"/>
      <c r="D78" s="103"/>
      <c r="E78" s="103"/>
    </row>
    <row r="79" spans="1:5" s="1" customFormat="1" ht="21">
      <c r="A79" s="104" t="s">
        <v>315</v>
      </c>
      <c r="B79" s="104"/>
      <c r="C79" s="104"/>
      <c r="D79" s="104"/>
      <c r="E79" s="104"/>
    </row>
    <row r="80" spans="1:5" ht="21.75">
      <c r="A80" s="28"/>
      <c r="B80" s="20"/>
      <c r="C80" s="29"/>
      <c r="D80" s="29"/>
      <c r="E80" s="29"/>
    </row>
    <row r="81" spans="1:5" s="1" customFormat="1" ht="21">
      <c r="A81" s="3" t="s">
        <v>3</v>
      </c>
      <c r="B81" s="3" t="s">
        <v>4</v>
      </c>
      <c r="C81" s="3" t="s">
        <v>93</v>
      </c>
      <c r="D81" s="3" t="s">
        <v>94</v>
      </c>
      <c r="E81" s="3" t="s">
        <v>7</v>
      </c>
    </row>
    <row r="82" spans="1:5" ht="21.75">
      <c r="A82" s="30" t="s">
        <v>95</v>
      </c>
      <c r="B82" s="31"/>
      <c r="C82" s="70">
        <f>C84+C90+C98+C100+C177+C185+C214</f>
        <v>2459652.04</v>
      </c>
      <c r="D82" s="70">
        <f>D83+D213</f>
        <v>4113653.63</v>
      </c>
      <c r="E82" s="71">
        <f>E83+E213</f>
        <v>24314021</v>
      </c>
    </row>
    <row r="83" spans="1:5" ht="21.75">
      <c r="A83" s="4" t="s">
        <v>96</v>
      </c>
      <c r="B83" s="10"/>
      <c r="C83" s="21">
        <f>C84+C90+C98+C100+C177+C185</f>
        <v>2339396.32</v>
      </c>
      <c r="D83" s="21">
        <f>D84+D90+D98+D100+D177+D185</f>
        <v>3993397.9099999997</v>
      </c>
      <c r="E83" s="9">
        <f>E84+E90+E98+E100+E177+E185</f>
        <v>12394348</v>
      </c>
    </row>
    <row r="84" spans="1:5" ht="21.75">
      <c r="A84" s="4" t="s">
        <v>97</v>
      </c>
      <c r="B84" s="10" t="s">
        <v>98</v>
      </c>
      <c r="C84" s="62">
        <f>C85+C86+C89</f>
        <v>229918</v>
      </c>
      <c r="D84" s="62">
        <f>C84</f>
        <v>229918</v>
      </c>
      <c r="E84" s="9">
        <f>E85+E86+E87+E88+E89</f>
        <v>1537291</v>
      </c>
    </row>
    <row r="85" spans="1:5" ht="21.75">
      <c r="A85" s="33" t="s">
        <v>337</v>
      </c>
      <c r="B85" s="10" t="s">
        <v>100</v>
      </c>
      <c r="C85" s="55">
        <v>169950</v>
      </c>
      <c r="D85" s="56">
        <f>C85</f>
        <v>169950</v>
      </c>
      <c r="E85" s="11">
        <v>240000</v>
      </c>
    </row>
    <row r="86" spans="1:5" ht="21.75">
      <c r="A86" s="7" t="s">
        <v>101</v>
      </c>
      <c r="B86" s="10" t="s">
        <v>102</v>
      </c>
      <c r="C86" s="55">
        <v>38468</v>
      </c>
      <c r="D86" s="56">
        <f>C86</f>
        <v>38468</v>
      </c>
      <c r="E86" s="11">
        <v>101520</v>
      </c>
    </row>
    <row r="87" spans="1:5" ht="21.75">
      <c r="A87" s="7" t="s">
        <v>103</v>
      </c>
      <c r="B87" s="10"/>
      <c r="C87" s="8" t="s">
        <v>28</v>
      </c>
      <c r="D87" s="8" t="s">
        <v>28</v>
      </c>
      <c r="E87" s="11">
        <v>120000</v>
      </c>
    </row>
    <row r="88" spans="1:5" ht="21.75">
      <c r="A88" s="7" t="s">
        <v>104</v>
      </c>
      <c r="B88" s="10"/>
      <c r="C88" s="8" t="s">
        <v>28</v>
      </c>
      <c r="D88" s="8" t="s">
        <v>28</v>
      </c>
      <c r="E88" s="11">
        <v>264000</v>
      </c>
    </row>
    <row r="89" spans="1:5" ht="21.75">
      <c r="A89" s="7" t="s">
        <v>105</v>
      </c>
      <c r="B89" s="10" t="s">
        <v>106</v>
      </c>
      <c r="C89" s="55">
        <v>21500</v>
      </c>
      <c r="D89" s="55">
        <v>21500</v>
      </c>
      <c r="E89" s="11">
        <v>811771</v>
      </c>
    </row>
    <row r="90" spans="1:5" ht="21.75">
      <c r="A90" s="4" t="s">
        <v>107</v>
      </c>
      <c r="B90" s="10"/>
      <c r="C90" s="21">
        <f>C91+C92+C93+C94+C95+C96+C97</f>
        <v>590602.5</v>
      </c>
      <c r="D90" s="21">
        <f>D91+D92+D93+D94+D95+D96+D97</f>
        <v>1166998.63</v>
      </c>
      <c r="E90" s="9">
        <f>E91+E92+E93+E94+E95+E96+E97</f>
        <v>2452280</v>
      </c>
    </row>
    <row r="91" spans="1:5" ht="21.75">
      <c r="A91" s="7" t="s">
        <v>108</v>
      </c>
      <c r="B91" s="10" t="s">
        <v>109</v>
      </c>
      <c r="C91" s="11">
        <v>364647.5</v>
      </c>
      <c r="D91" s="11">
        <f>C91+354766.13</f>
        <v>719413.63</v>
      </c>
      <c r="E91" s="11">
        <v>1536935</v>
      </c>
    </row>
    <row r="92" spans="1:5" ht="21.75">
      <c r="A92" s="7" t="s">
        <v>110</v>
      </c>
      <c r="B92" s="10" t="s">
        <v>111</v>
      </c>
      <c r="C92" s="11">
        <v>40915</v>
      </c>
      <c r="D92" s="11">
        <f>C92+36590</f>
        <v>77505</v>
      </c>
      <c r="E92" s="11">
        <v>168945</v>
      </c>
    </row>
    <row r="93" spans="1:5" ht="21.75">
      <c r="A93" s="7" t="s">
        <v>112</v>
      </c>
      <c r="B93" s="10" t="s">
        <v>113</v>
      </c>
      <c r="C93" s="11">
        <v>74400</v>
      </c>
      <c r="D93" s="11">
        <f>C93+74400</f>
        <v>148800</v>
      </c>
      <c r="E93" s="11">
        <v>297600</v>
      </c>
    </row>
    <row r="94" spans="1:5" ht="21.75">
      <c r="A94" s="7" t="s">
        <v>114</v>
      </c>
      <c r="B94" s="10" t="s">
        <v>115</v>
      </c>
      <c r="C94" s="11">
        <v>18000</v>
      </c>
      <c r="D94" s="11">
        <f>C94+18000</f>
        <v>36000</v>
      </c>
      <c r="E94" s="11">
        <v>72000</v>
      </c>
    </row>
    <row r="95" spans="1:5" ht="21.75">
      <c r="A95" s="7" t="s">
        <v>116</v>
      </c>
      <c r="B95" s="10" t="s">
        <v>117</v>
      </c>
      <c r="C95" s="11">
        <f>27660+22290+23190</f>
        <v>73140</v>
      </c>
      <c r="D95" s="11">
        <f>C95+73140</f>
        <v>146280</v>
      </c>
      <c r="E95" s="11">
        <v>298800</v>
      </c>
    </row>
    <row r="96" spans="1:5" ht="21.75">
      <c r="A96" s="7" t="s">
        <v>118</v>
      </c>
      <c r="B96" s="10" t="s">
        <v>119</v>
      </c>
      <c r="C96" s="11">
        <f>3000+6000</f>
        <v>9000</v>
      </c>
      <c r="D96" s="11">
        <f>C96+9000</f>
        <v>18000</v>
      </c>
      <c r="E96" s="11">
        <v>36000</v>
      </c>
    </row>
    <row r="97" spans="1:5" ht="21.75">
      <c r="A97" s="7" t="s">
        <v>120</v>
      </c>
      <c r="B97" s="10" t="s">
        <v>121</v>
      </c>
      <c r="C97" s="11">
        <v>10500</v>
      </c>
      <c r="D97" s="11">
        <f>C97+10500</f>
        <v>21000</v>
      </c>
      <c r="E97" s="11">
        <v>42000</v>
      </c>
    </row>
    <row r="98" spans="1:5" ht="21.75">
      <c r="A98" s="4" t="s">
        <v>122</v>
      </c>
      <c r="B98" s="10" t="s">
        <v>123</v>
      </c>
      <c r="C98" s="9">
        <f>C99</f>
        <v>206370</v>
      </c>
      <c r="D98" s="9">
        <f>D99</f>
        <v>375570</v>
      </c>
      <c r="E98" s="9">
        <v>772040</v>
      </c>
    </row>
    <row r="99" spans="1:5" ht="21.75">
      <c r="A99" s="7" t="s">
        <v>124</v>
      </c>
      <c r="B99" s="10" t="s">
        <v>125</v>
      </c>
      <c r="C99" s="11">
        <f>206370</f>
        <v>206370</v>
      </c>
      <c r="D99" s="11">
        <f>C99+169200</f>
        <v>375570</v>
      </c>
      <c r="E99" s="11">
        <v>772040</v>
      </c>
    </row>
    <row r="100" spans="1:5" ht="21.75">
      <c r="A100" s="4" t="s">
        <v>126</v>
      </c>
      <c r="B100" s="10"/>
      <c r="C100" s="9">
        <f>C101+C110+C157</f>
        <v>1206187.3</v>
      </c>
      <c r="D100" s="9">
        <f>D101+D110+D157</f>
        <v>2049583.21</v>
      </c>
      <c r="E100" s="9">
        <f>E101+E110+E157</f>
        <v>6761737</v>
      </c>
    </row>
    <row r="101" spans="1:5" ht="21.75">
      <c r="A101" s="4" t="s">
        <v>127</v>
      </c>
      <c r="B101" s="10" t="s">
        <v>128</v>
      </c>
      <c r="C101" s="34">
        <f>C102+C103+C105+C107+C108</f>
        <v>414046</v>
      </c>
      <c r="D101" s="34">
        <f>D102+D103+D104+D105+D107+D108</f>
        <v>809834.71</v>
      </c>
      <c r="E101" s="34">
        <f>E102+E103+E104+E105+E106+E107+E108+E109</f>
        <v>1916840</v>
      </c>
    </row>
    <row r="102" spans="1:5" ht="21.75">
      <c r="A102" s="7" t="s">
        <v>129</v>
      </c>
      <c r="B102" s="10" t="s">
        <v>130</v>
      </c>
      <c r="C102" s="11">
        <f>368460</f>
        <v>368460</v>
      </c>
      <c r="D102" s="11">
        <f>C102+366348.71</f>
        <v>734808.71</v>
      </c>
      <c r="E102" s="11">
        <v>1473840</v>
      </c>
    </row>
    <row r="103" spans="1:5" ht="21.75">
      <c r="A103" s="7" t="s">
        <v>131</v>
      </c>
      <c r="B103" s="10" t="s">
        <v>132</v>
      </c>
      <c r="C103" s="11">
        <f>13400</f>
        <v>13400</v>
      </c>
      <c r="D103" s="11">
        <f>C103+5000</f>
        <v>18400</v>
      </c>
      <c r="E103" s="11">
        <v>52000</v>
      </c>
    </row>
    <row r="104" spans="1:5" ht="21.75">
      <c r="A104" s="7" t="s">
        <v>133</v>
      </c>
      <c r="B104" s="10" t="s">
        <v>134</v>
      </c>
      <c r="C104" s="12" t="s">
        <v>28</v>
      </c>
      <c r="D104" s="12">
        <v>16150</v>
      </c>
      <c r="E104" s="11">
        <v>56000</v>
      </c>
    </row>
    <row r="105" spans="1:5" ht="21.75">
      <c r="A105" s="7" t="s">
        <v>135</v>
      </c>
      <c r="B105" s="10" t="s">
        <v>136</v>
      </c>
      <c r="C105" s="11">
        <v>11736</v>
      </c>
      <c r="D105" s="11">
        <f>C105+6490</f>
        <v>18226</v>
      </c>
      <c r="E105" s="11">
        <v>140000</v>
      </c>
    </row>
    <row r="106" spans="1:5" ht="21.75">
      <c r="A106" s="33" t="s">
        <v>137</v>
      </c>
      <c r="B106" s="10"/>
      <c r="C106" s="12" t="s">
        <v>28</v>
      </c>
      <c r="D106" s="12" t="s">
        <v>28</v>
      </c>
      <c r="E106" s="11">
        <v>120000</v>
      </c>
    </row>
    <row r="107" spans="1:5" ht="21.75">
      <c r="A107" s="33" t="s">
        <v>138</v>
      </c>
      <c r="B107" s="10" t="s">
        <v>139</v>
      </c>
      <c r="C107" s="12">
        <v>12250</v>
      </c>
      <c r="D107" s="12">
        <f>C107</f>
        <v>12250</v>
      </c>
      <c r="E107" s="11">
        <v>20000</v>
      </c>
    </row>
    <row r="108" spans="1:5" ht="21.75">
      <c r="A108" s="7" t="s">
        <v>140</v>
      </c>
      <c r="B108" s="10" t="s">
        <v>136</v>
      </c>
      <c r="C108" s="11">
        <f>600+2000+5600</f>
        <v>8200</v>
      </c>
      <c r="D108" s="11">
        <f>C108+1800</f>
        <v>10000</v>
      </c>
      <c r="E108" s="11">
        <v>45000</v>
      </c>
    </row>
    <row r="109" spans="1:5" ht="21.75">
      <c r="A109" s="7" t="s">
        <v>141</v>
      </c>
      <c r="B109" s="10" t="s">
        <v>142</v>
      </c>
      <c r="C109" s="12" t="s">
        <v>28</v>
      </c>
      <c r="D109" s="12" t="s">
        <v>28</v>
      </c>
      <c r="E109" s="11">
        <v>10000</v>
      </c>
    </row>
    <row r="110" spans="1:5" ht="21.75">
      <c r="A110" s="4" t="s">
        <v>143</v>
      </c>
      <c r="B110" s="10" t="s">
        <v>144</v>
      </c>
      <c r="C110" s="34">
        <f>C111+C125+C126+C140</f>
        <v>519478.04000000004</v>
      </c>
      <c r="D110" s="34">
        <f>D111+D125+D126+D140</f>
        <v>826139.24</v>
      </c>
      <c r="E110" s="34">
        <f>E111+E125+E126+E140</f>
        <v>3402897</v>
      </c>
    </row>
    <row r="111" spans="1:5" ht="21.75">
      <c r="A111" s="7" t="s">
        <v>145</v>
      </c>
      <c r="B111" s="10" t="s">
        <v>146</v>
      </c>
      <c r="C111" s="11">
        <f>C112+C113+C116+C120+C121+C122+C123</f>
        <v>332852.2</v>
      </c>
      <c r="D111" s="11">
        <f>D112+D113+D116+D120+D121+D122+D123</f>
        <v>462802.2</v>
      </c>
      <c r="E111" s="11">
        <f>E112+E113+E116+E117+E118+E119+E120+E121+E122+E123+E124</f>
        <v>1009885</v>
      </c>
    </row>
    <row r="112" spans="1:5" ht="21.75">
      <c r="A112" s="7" t="s">
        <v>147</v>
      </c>
      <c r="B112" s="10"/>
      <c r="C112" s="12">
        <f>24310</f>
        <v>24310</v>
      </c>
      <c r="D112" s="12">
        <f>C112</f>
        <v>24310</v>
      </c>
      <c r="E112" s="11">
        <v>50000</v>
      </c>
    </row>
    <row r="113" spans="1:5" ht="21.75">
      <c r="A113" s="7" t="s">
        <v>148</v>
      </c>
      <c r="B113" s="10"/>
      <c r="C113" s="12">
        <v>30465</v>
      </c>
      <c r="D113" s="12">
        <f>C113</f>
        <v>30465</v>
      </c>
      <c r="E113" s="11">
        <v>30465</v>
      </c>
    </row>
    <row r="114" spans="1:5" ht="21.75">
      <c r="A114" s="26" t="s">
        <v>63</v>
      </c>
      <c r="B114" s="16"/>
      <c r="C114" s="35">
        <f>C112+C113</f>
        <v>54775</v>
      </c>
      <c r="D114" s="35">
        <f>C114</f>
        <v>54775</v>
      </c>
      <c r="E114" s="13">
        <f>SUM(E112:E113)</f>
        <v>80465</v>
      </c>
    </row>
    <row r="115" spans="1:5" ht="21.75">
      <c r="A115" s="5" t="s">
        <v>64</v>
      </c>
      <c r="B115" s="36"/>
      <c r="C115" s="37">
        <f>C114</f>
        <v>54775</v>
      </c>
      <c r="D115" s="37">
        <f>C115</f>
        <v>54775</v>
      </c>
      <c r="E115" s="6">
        <f>E114</f>
        <v>80465</v>
      </c>
    </row>
    <row r="116" spans="1:5" ht="21.75">
      <c r="A116" s="7" t="s">
        <v>323</v>
      </c>
      <c r="B116" s="10"/>
      <c r="C116" s="12">
        <v>2795</v>
      </c>
      <c r="D116" s="12">
        <f>C116</f>
        <v>2795</v>
      </c>
      <c r="E116" s="11">
        <v>50000</v>
      </c>
    </row>
    <row r="117" spans="1:5" ht="21.75">
      <c r="A117" s="7" t="s">
        <v>324</v>
      </c>
      <c r="B117" s="10"/>
      <c r="C117" s="12" t="s">
        <v>28</v>
      </c>
      <c r="D117" s="12" t="s">
        <v>28</v>
      </c>
      <c r="E117" s="11">
        <v>10000</v>
      </c>
    </row>
    <row r="118" spans="1:5" ht="21.75">
      <c r="A118" s="7" t="s">
        <v>325</v>
      </c>
      <c r="B118" s="10"/>
      <c r="C118" s="12" t="s">
        <v>28</v>
      </c>
      <c r="D118" s="12" t="s">
        <v>28</v>
      </c>
      <c r="E118" s="11">
        <v>12000</v>
      </c>
    </row>
    <row r="119" spans="1:5" ht="21.75">
      <c r="A119" s="7" t="s">
        <v>326</v>
      </c>
      <c r="B119" s="7"/>
      <c r="C119" s="12" t="s">
        <v>28</v>
      </c>
      <c r="D119" s="12" t="s">
        <v>28</v>
      </c>
      <c r="E119" s="11">
        <v>1500</v>
      </c>
    </row>
    <row r="120" spans="1:5" ht="21.75">
      <c r="A120" s="7" t="s">
        <v>327</v>
      </c>
      <c r="B120" s="10"/>
      <c r="C120" s="38">
        <v>245502.2</v>
      </c>
      <c r="D120" s="38">
        <f>C120+118950</f>
        <v>364452.2</v>
      </c>
      <c r="E120" s="38">
        <v>555920</v>
      </c>
    </row>
    <row r="121" spans="1:5" ht="21.75">
      <c r="A121" s="7" t="s">
        <v>328</v>
      </c>
      <c r="B121" s="10"/>
      <c r="C121" s="38">
        <v>19500</v>
      </c>
      <c r="D121" s="38">
        <f>C121+11000</f>
        <v>30500</v>
      </c>
      <c r="E121" s="38">
        <v>120000</v>
      </c>
    </row>
    <row r="122" spans="1:5" ht="21.75">
      <c r="A122" s="7" t="s">
        <v>329</v>
      </c>
      <c r="B122" s="10"/>
      <c r="C122" s="12">
        <v>7410</v>
      </c>
      <c r="D122" s="12">
        <f>C122</f>
        <v>7410</v>
      </c>
      <c r="E122" s="38">
        <v>100000</v>
      </c>
    </row>
    <row r="123" spans="1:5" ht="21.75">
      <c r="A123" s="7" t="s">
        <v>330</v>
      </c>
      <c r="B123" s="10"/>
      <c r="C123" s="12">
        <v>2870</v>
      </c>
      <c r="D123" s="12">
        <f>C123</f>
        <v>2870</v>
      </c>
      <c r="E123" s="38">
        <v>30000</v>
      </c>
    </row>
    <row r="124" spans="1:5" ht="21.75">
      <c r="A124" s="7" t="s">
        <v>331</v>
      </c>
      <c r="B124" s="10"/>
      <c r="C124" s="12" t="s">
        <v>28</v>
      </c>
      <c r="D124" s="12" t="s">
        <v>28</v>
      </c>
      <c r="E124" s="38">
        <v>50000</v>
      </c>
    </row>
    <row r="125" spans="1:5" ht="21.75">
      <c r="A125" s="7" t="s">
        <v>158</v>
      </c>
      <c r="B125" s="10" t="s">
        <v>159</v>
      </c>
      <c r="C125" s="12">
        <v>16177.84</v>
      </c>
      <c r="D125" s="12">
        <f>C125+8710</f>
        <v>24887.84</v>
      </c>
      <c r="E125" s="11">
        <v>250000</v>
      </c>
    </row>
    <row r="126" spans="1:5" ht="21.75">
      <c r="A126" s="7" t="s">
        <v>160</v>
      </c>
      <c r="B126" s="10" t="s">
        <v>161</v>
      </c>
      <c r="C126" s="11">
        <f>C127+C128+C129+C130+C131+C133+C134</f>
        <v>74810.2</v>
      </c>
      <c r="D126" s="11">
        <f>D127+D128+D129+D130+D131+D133+D134</f>
        <v>194306.4</v>
      </c>
      <c r="E126" s="11">
        <f>E127+E128+E129+E130+E131+E132+E134+E135</f>
        <v>1157000</v>
      </c>
    </row>
    <row r="127" spans="1:5" ht="21.75">
      <c r="A127" s="7" t="s">
        <v>162</v>
      </c>
      <c r="B127" s="10"/>
      <c r="C127" s="12">
        <v>4700</v>
      </c>
      <c r="D127" s="12">
        <f>C127</f>
        <v>4700</v>
      </c>
      <c r="E127" s="11">
        <v>50000</v>
      </c>
    </row>
    <row r="128" spans="1:5" ht="21.75">
      <c r="A128" s="7" t="s">
        <v>163</v>
      </c>
      <c r="B128" s="10"/>
      <c r="C128" s="11">
        <v>4773</v>
      </c>
      <c r="D128" s="11">
        <f>C128+8533</f>
        <v>13306</v>
      </c>
      <c r="E128" s="11">
        <v>102000</v>
      </c>
    </row>
    <row r="129" spans="1:5" ht="21.75">
      <c r="A129" s="7" t="s">
        <v>164</v>
      </c>
      <c r="B129" s="10"/>
      <c r="C129" s="12">
        <v>274</v>
      </c>
      <c r="D129" s="12">
        <f>C129</f>
        <v>274</v>
      </c>
      <c r="E129" s="11">
        <v>15000</v>
      </c>
    </row>
    <row r="130" spans="1:5" ht="21.75">
      <c r="A130" s="72" t="s">
        <v>335</v>
      </c>
      <c r="B130" s="10"/>
      <c r="C130" s="12">
        <v>2850</v>
      </c>
      <c r="D130" s="12">
        <f>C130</f>
        <v>2850</v>
      </c>
      <c r="E130" s="11">
        <v>30000</v>
      </c>
    </row>
    <row r="131" spans="1:5" ht="21.75">
      <c r="A131" s="7" t="s">
        <v>166</v>
      </c>
      <c r="B131" s="10"/>
      <c r="C131" s="11">
        <v>50663.2</v>
      </c>
      <c r="D131" s="11">
        <f>C131+45000</f>
        <v>95663.2</v>
      </c>
      <c r="E131" s="11">
        <v>300000</v>
      </c>
    </row>
    <row r="132" spans="1:5" ht="21.75">
      <c r="A132" s="72" t="s">
        <v>336</v>
      </c>
      <c r="B132" s="10"/>
      <c r="C132" s="12" t="s">
        <v>28</v>
      </c>
      <c r="D132" s="12" t="s">
        <v>28</v>
      </c>
      <c r="E132" s="11">
        <v>60000</v>
      </c>
    </row>
    <row r="133" spans="1:5" ht="21.75">
      <c r="A133" s="7" t="s">
        <v>332</v>
      </c>
      <c r="B133" s="10"/>
      <c r="C133" s="12">
        <v>7150</v>
      </c>
      <c r="D133" s="12">
        <f>C133</f>
        <v>7150</v>
      </c>
      <c r="E133" s="11"/>
    </row>
    <row r="134" spans="1:5" ht="21.75">
      <c r="A134" s="7" t="s">
        <v>333</v>
      </c>
      <c r="B134" s="10"/>
      <c r="C134" s="11">
        <f>4400</f>
        <v>4400</v>
      </c>
      <c r="D134" s="11">
        <f>C134+65963.2</f>
        <v>70363.2</v>
      </c>
      <c r="E134" s="11">
        <v>200000</v>
      </c>
    </row>
    <row r="135" spans="1:5" ht="21.75">
      <c r="A135" s="7" t="s">
        <v>334</v>
      </c>
      <c r="B135" s="10"/>
      <c r="C135" s="12" t="s">
        <v>28</v>
      </c>
      <c r="D135" s="12" t="s">
        <v>28</v>
      </c>
      <c r="E135" s="11">
        <v>400000</v>
      </c>
    </row>
    <row r="136" spans="1:5" ht="21.75">
      <c r="A136" s="7" t="s">
        <v>171</v>
      </c>
      <c r="B136" s="10"/>
      <c r="C136" s="12" t="s">
        <v>28</v>
      </c>
      <c r="D136" s="12" t="s">
        <v>28</v>
      </c>
      <c r="E136" s="39">
        <v>50000</v>
      </c>
    </row>
    <row r="137" spans="1:5" ht="21.75">
      <c r="A137" s="7" t="s">
        <v>172</v>
      </c>
      <c r="B137" s="10"/>
      <c r="C137" s="12" t="s">
        <v>28</v>
      </c>
      <c r="D137" s="12" t="s">
        <v>28</v>
      </c>
      <c r="E137" s="39">
        <v>100000</v>
      </c>
    </row>
    <row r="138" spans="1:5" ht="21.75">
      <c r="A138" s="7" t="s">
        <v>173</v>
      </c>
      <c r="B138" s="10"/>
      <c r="C138" s="12" t="s">
        <v>28</v>
      </c>
      <c r="D138" s="12" t="s">
        <v>28</v>
      </c>
      <c r="E138" s="39">
        <v>200000</v>
      </c>
    </row>
    <row r="139" spans="1:5" ht="21.75">
      <c r="A139" s="7" t="s">
        <v>174</v>
      </c>
      <c r="B139" s="7"/>
      <c r="C139" s="12" t="s">
        <v>28</v>
      </c>
      <c r="D139" s="12" t="s">
        <v>28</v>
      </c>
      <c r="E139" s="39">
        <v>50000</v>
      </c>
    </row>
    <row r="140" spans="1:5" ht="21.75">
      <c r="A140" s="7" t="s">
        <v>175</v>
      </c>
      <c r="B140" s="10" t="s">
        <v>176</v>
      </c>
      <c r="C140" s="11">
        <f>C142+C143+C144</f>
        <v>95637.8</v>
      </c>
      <c r="D140" s="11">
        <f>D142+D143+D144+D148+D156</f>
        <v>144142.8</v>
      </c>
      <c r="E140" s="11">
        <f>E142+E143+E144+E145+E146+E147+E148+E149+E150+E153+E154+E155+E156</f>
        <v>986012</v>
      </c>
    </row>
    <row r="141" spans="1:5" ht="21.75">
      <c r="A141" s="7" t="s">
        <v>177</v>
      </c>
      <c r="B141" s="22"/>
      <c r="C141" s="11"/>
      <c r="D141" s="11"/>
      <c r="E141" s="11"/>
    </row>
    <row r="142" spans="1:5" ht="21.75">
      <c r="A142" s="7" t="s">
        <v>317</v>
      </c>
      <c r="B142" s="10"/>
      <c r="C142" s="11">
        <f>62907.8+7360</f>
        <v>70267.8</v>
      </c>
      <c r="D142" s="11">
        <f>C142+19475</f>
        <v>89742.8</v>
      </c>
      <c r="E142" s="11">
        <v>205000</v>
      </c>
    </row>
    <row r="143" spans="1:5" ht="21.75">
      <c r="A143" s="7" t="s">
        <v>316</v>
      </c>
      <c r="B143" s="10"/>
      <c r="C143" s="12">
        <v>7880</v>
      </c>
      <c r="D143" s="12">
        <f>C143</f>
        <v>7880</v>
      </c>
      <c r="E143" s="11">
        <v>25000</v>
      </c>
    </row>
    <row r="144" spans="1:5" ht="21.75">
      <c r="A144" s="57" t="s">
        <v>180</v>
      </c>
      <c r="B144" s="10"/>
      <c r="C144" s="12">
        <v>17490</v>
      </c>
      <c r="D144" s="12">
        <f>C144</f>
        <v>17490</v>
      </c>
      <c r="E144" s="11">
        <v>40000</v>
      </c>
    </row>
    <row r="145" spans="1:5" ht="21.75">
      <c r="A145" s="7" t="s">
        <v>181</v>
      </c>
      <c r="B145" s="10"/>
      <c r="C145" s="12" t="s">
        <v>28</v>
      </c>
      <c r="D145" s="12" t="s">
        <v>28</v>
      </c>
      <c r="E145" s="11">
        <v>25700</v>
      </c>
    </row>
    <row r="146" spans="1:5" ht="21.75">
      <c r="A146" s="58" t="s">
        <v>182</v>
      </c>
      <c r="B146" s="10"/>
      <c r="C146" s="12" t="s">
        <v>28</v>
      </c>
      <c r="D146" s="12" t="s">
        <v>28</v>
      </c>
      <c r="E146" s="11">
        <v>10000</v>
      </c>
    </row>
    <row r="147" spans="1:5" ht="21.75">
      <c r="A147" s="40" t="s">
        <v>183</v>
      </c>
      <c r="B147" s="10"/>
      <c r="C147" s="12" t="s">
        <v>28</v>
      </c>
      <c r="D147" s="12" t="s">
        <v>28</v>
      </c>
      <c r="E147" s="11">
        <v>180000</v>
      </c>
    </row>
    <row r="148" spans="1:5" ht="21.75">
      <c r="A148" s="40" t="s">
        <v>184</v>
      </c>
      <c r="B148" s="10"/>
      <c r="C148" s="12" t="s">
        <v>28</v>
      </c>
      <c r="D148" s="12">
        <f>24500</f>
        <v>24500</v>
      </c>
      <c r="E148" s="11">
        <v>275312</v>
      </c>
    </row>
    <row r="149" spans="1:5" ht="21.75">
      <c r="A149" s="40" t="s">
        <v>185</v>
      </c>
      <c r="B149" s="10"/>
      <c r="C149" s="12" t="s">
        <v>28</v>
      </c>
      <c r="D149" s="12" t="s">
        <v>28</v>
      </c>
      <c r="E149" s="11">
        <v>50000</v>
      </c>
    </row>
    <row r="150" spans="1:5" ht="21.75">
      <c r="A150" s="40" t="s">
        <v>186</v>
      </c>
      <c r="B150" s="10"/>
      <c r="C150" s="12" t="s">
        <v>28</v>
      </c>
      <c r="D150" s="12" t="s">
        <v>28</v>
      </c>
      <c r="E150" s="11">
        <v>30000</v>
      </c>
    </row>
    <row r="151" spans="1:5" ht="21.75">
      <c r="A151" s="26" t="s">
        <v>63</v>
      </c>
      <c r="B151" s="16"/>
      <c r="C151" s="35">
        <f>C142+C143+C144</f>
        <v>95637.8</v>
      </c>
      <c r="D151" s="35">
        <f>D142+D143+D144+D148+D156</f>
        <v>144142.8</v>
      </c>
      <c r="E151" s="13">
        <f>E142+E143+E144+E145+E146+E147+E148+E149+E150</f>
        <v>841012</v>
      </c>
    </row>
    <row r="152" spans="1:5" ht="21.75">
      <c r="A152" s="5" t="s">
        <v>64</v>
      </c>
      <c r="B152" s="36"/>
      <c r="C152" s="37">
        <f>C151</f>
        <v>95637.8</v>
      </c>
      <c r="D152" s="37">
        <f>D151</f>
        <v>144142.8</v>
      </c>
      <c r="E152" s="6">
        <f>E151</f>
        <v>841012</v>
      </c>
    </row>
    <row r="153" spans="1:5" ht="21.75">
      <c r="A153" s="7" t="s">
        <v>187</v>
      </c>
      <c r="B153" s="10"/>
      <c r="C153" s="12" t="s">
        <v>28</v>
      </c>
      <c r="D153" s="12" t="s">
        <v>28</v>
      </c>
      <c r="E153" s="11">
        <v>100000</v>
      </c>
    </row>
    <row r="154" spans="1:5" ht="21.75">
      <c r="A154" s="40" t="s">
        <v>188</v>
      </c>
      <c r="B154" s="10"/>
      <c r="C154" s="12" t="s">
        <v>28</v>
      </c>
      <c r="D154" s="12" t="s">
        <v>28</v>
      </c>
      <c r="E154" s="11">
        <v>20000</v>
      </c>
    </row>
    <row r="155" spans="1:5" ht="21.75">
      <c r="A155" s="40" t="s">
        <v>189</v>
      </c>
      <c r="B155" s="10"/>
      <c r="C155" s="12" t="s">
        <v>28</v>
      </c>
      <c r="D155" s="12" t="s">
        <v>28</v>
      </c>
      <c r="E155" s="11">
        <v>20000</v>
      </c>
    </row>
    <row r="156" spans="1:5" ht="21.75">
      <c r="A156" s="7" t="s">
        <v>190</v>
      </c>
      <c r="B156" s="10"/>
      <c r="C156" s="12" t="s">
        <v>28</v>
      </c>
      <c r="D156" s="12">
        <f>4530</f>
        <v>4530</v>
      </c>
      <c r="E156" s="11">
        <v>5000</v>
      </c>
    </row>
    <row r="157" spans="1:5" ht="21.75">
      <c r="A157" s="4" t="s">
        <v>191</v>
      </c>
      <c r="B157" s="10" t="s">
        <v>192</v>
      </c>
      <c r="C157" s="34">
        <f>C158+C163+C164+C165+C166+C168+C169+C175</f>
        <v>272663.26</v>
      </c>
      <c r="D157" s="34">
        <f>D158+D163+D164+D165+D166+D168+D169+D170+D175</f>
        <v>413609.26</v>
      </c>
      <c r="E157" s="34">
        <f>E158+E163+E164+E165+E166+E167+E168+E169+E170+E171+E172+E176</f>
        <v>1442000</v>
      </c>
    </row>
    <row r="158" spans="1:5" ht="21.75">
      <c r="A158" s="7" t="s">
        <v>193</v>
      </c>
      <c r="B158" s="10" t="s">
        <v>194</v>
      </c>
      <c r="C158" s="11">
        <f>C159+C160</f>
        <v>77367</v>
      </c>
      <c r="D158" s="11">
        <f>C158+27740</f>
        <v>105107</v>
      </c>
      <c r="E158" s="11">
        <f>E159+E160+E161</f>
        <v>225000</v>
      </c>
    </row>
    <row r="159" spans="1:5" ht="21.75">
      <c r="A159" s="40" t="s">
        <v>195</v>
      </c>
      <c r="B159" s="10"/>
      <c r="C159" s="45">
        <v>37927</v>
      </c>
      <c r="D159" s="45">
        <f>C159+26764</f>
        <v>64691</v>
      </c>
      <c r="E159" s="39">
        <v>120000</v>
      </c>
    </row>
    <row r="160" spans="1:5" ht="21.75">
      <c r="A160" s="40" t="s">
        <v>196</v>
      </c>
      <c r="B160" s="10"/>
      <c r="C160" s="59">
        <v>39440</v>
      </c>
      <c r="D160" s="59">
        <f>C160+976</f>
        <v>40416</v>
      </c>
      <c r="E160" s="39">
        <v>100000</v>
      </c>
    </row>
    <row r="161" spans="1:5" ht="21.75">
      <c r="A161" s="40" t="s">
        <v>197</v>
      </c>
      <c r="B161" s="10"/>
      <c r="C161" s="12" t="s">
        <v>28</v>
      </c>
      <c r="D161" s="12" t="s">
        <v>28</v>
      </c>
      <c r="E161" s="39">
        <v>5000</v>
      </c>
    </row>
    <row r="162" spans="1:5" ht="19.5" customHeight="1">
      <c r="A162" s="40" t="s">
        <v>198</v>
      </c>
      <c r="B162" s="10"/>
      <c r="C162" s="12" t="s">
        <v>28</v>
      </c>
      <c r="D162" s="12" t="s">
        <v>28</v>
      </c>
      <c r="E162" s="41" t="s">
        <v>28</v>
      </c>
    </row>
    <row r="163" spans="1:5" ht="21.75">
      <c r="A163" s="7" t="s">
        <v>199</v>
      </c>
      <c r="B163" s="10" t="s">
        <v>200</v>
      </c>
      <c r="C163" s="12">
        <v>15966</v>
      </c>
      <c r="D163" s="12">
        <f>C163</f>
        <v>15966</v>
      </c>
      <c r="E163" s="11">
        <v>50000</v>
      </c>
    </row>
    <row r="164" spans="1:5" ht="21.75">
      <c r="A164" s="7" t="s">
        <v>201</v>
      </c>
      <c r="B164" s="10" t="s">
        <v>202</v>
      </c>
      <c r="C164" s="11">
        <v>1775</v>
      </c>
      <c r="D164" s="11">
        <f>C164+1805</f>
        <v>3580</v>
      </c>
      <c r="E164" s="11">
        <v>104000</v>
      </c>
    </row>
    <row r="165" spans="1:5" ht="21.75">
      <c r="A165" s="7" t="s">
        <v>203</v>
      </c>
      <c r="B165" s="10" t="s">
        <v>204</v>
      </c>
      <c r="C165" s="11">
        <v>13500</v>
      </c>
      <c r="D165" s="11">
        <f>C165+14000</f>
        <v>27500</v>
      </c>
      <c r="E165" s="11">
        <v>110000</v>
      </c>
    </row>
    <row r="166" spans="1:5" ht="21.75">
      <c r="A166" s="7" t="s">
        <v>205</v>
      </c>
      <c r="B166" s="10" t="s">
        <v>206</v>
      </c>
      <c r="C166" s="12">
        <v>16326.4</v>
      </c>
      <c r="D166" s="12">
        <f>C166</f>
        <v>16326.4</v>
      </c>
      <c r="E166" s="11">
        <v>110000</v>
      </c>
    </row>
    <row r="167" spans="1:5" ht="21.75">
      <c r="A167" s="7" t="s">
        <v>207</v>
      </c>
      <c r="B167" s="10" t="s">
        <v>208</v>
      </c>
      <c r="C167" s="12" t="s">
        <v>28</v>
      </c>
      <c r="D167" s="12" t="s">
        <v>28</v>
      </c>
      <c r="E167" s="11">
        <v>50000</v>
      </c>
    </row>
    <row r="168" spans="1:5" ht="21.75">
      <c r="A168" s="7" t="s">
        <v>209</v>
      </c>
      <c r="B168" s="10" t="s">
        <v>210</v>
      </c>
      <c r="C168" s="12">
        <v>72948.86</v>
      </c>
      <c r="D168" s="12">
        <f>C168</f>
        <v>72948.86</v>
      </c>
      <c r="E168" s="11">
        <v>175000</v>
      </c>
    </row>
    <row r="169" spans="1:5" ht="21.75">
      <c r="A169" s="7" t="s">
        <v>211</v>
      </c>
      <c r="B169" s="10" t="s">
        <v>212</v>
      </c>
      <c r="C169" s="11">
        <f>16980+26000+2500</f>
        <v>45480</v>
      </c>
      <c r="D169" s="11">
        <f>C169+84201</f>
        <v>129681</v>
      </c>
      <c r="E169" s="11">
        <v>215000</v>
      </c>
    </row>
    <row r="170" spans="1:5" ht="21.75">
      <c r="A170" s="7" t="s">
        <v>213</v>
      </c>
      <c r="B170" s="10" t="s">
        <v>214</v>
      </c>
      <c r="C170" s="12" t="s">
        <v>28</v>
      </c>
      <c r="D170" s="12">
        <f>13200</f>
        <v>13200</v>
      </c>
      <c r="E170" s="11">
        <v>110000</v>
      </c>
    </row>
    <row r="171" spans="1:5" ht="21.75">
      <c r="A171" s="7" t="s">
        <v>215</v>
      </c>
      <c r="B171" s="10" t="s">
        <v>216</v>
      </c>
      <c r="C171" s="12" t="s">
        <v>28</v>
      </c>
      <c r="D171" s="12" t="s">
        <v>28</v>
      </c>
      <c r="E171" s="11">
        <v>100000</v>
      </c>
    </row>
    <row r="172" spans="1:5" ht="21.75">
      <c r="A172" s="7" t="s">
        <v>217</v>
      </c>
      <c r="B172" s="10" t="s">
        <v>218</v>
      </c>
      <c r="C172" s="12" t="s">
        <v>28</v>
      </c>
      <c r="D172" s="12" t="s">
        <v>28</v>
      </c>
      <c r="E172" s="11">
        <v>143000</v>
      </c>
    </row>
    <row r="173" spans="1:5" ht="21.75">
      <c r="A173" s="40" t="s">
        <v>219</v>
      </c>
      <c r="B173" s="7"/>
      <c r="C173" s="12" t="s">
        <v>28</v>
      </c>
      <c r="D173" s="12" t="s">
        <v>28</v>
      </c>
      <c r="E173" s="39">
        <v>10000</v>
      </c>
    </row>
    <row r="174" spans="1:5" ht="21.75">
      <c r="A174" s="40" t="s">
        <v>220</v>
      </c>
      <c r="B174" s="7"/>
      <c r="C174" s="12" t="s">
        <v>28</v>
      </c>
      <c r="D174" s="12" t="s">
        <v>28</v>
      </c>
      <c r="E174" s="39">
        <v>100000</v>
      </c>
    </row>
    <row r="175" spans="1:5" ht="21.75">
      <c r="A175" s="7" t="s">
        <v>221</v>
      </c>
      <c r="B175" s="7"/>
      <c r="C175" s="55">
        <v>29300</v>
      </c>
      <c r="D175" s="56">
        <f>C175</f>
        <v>29300</v>
      </c>
      <c r="E175" s="39">
        <v>33000</v>
      </c>
    </row>
    <row r="176" spans="1:5" ht="21.75">
      <c r="A176" s="7" t="s">
        <v>222</v>
      </c>
      <c r="B176" s="10" t="s">
        <v>223</v>
      </c>
      <c r="C176" s="8" t="s">
        <v>28</v>
      </c>
      <c r="D176" s="8" t="s">
        <v>28</v>
      </c>
      <c r="E176" s="11">
        <v>50000</v>
      </c>
    </row>
    <row r="177" spans="1:5" ht="21.75">
      <c r="A177" s="4" t="s">
        <v>224</v>
      </c>
      <c r="B177" s="10" t="s">
        <v>225</v>
      </c>
      <c r="C177" s="21">
        <f>C178+C182+C183+C184</f>
        <v>14318.52</v>
      </c>
      <c r="D177" s="21">
        <f>D178+D182+D183+D184</f>
        <v>49328.07</v>
      </c>
      <c r="E177" s="9">
        <f>E178+E182+E183+E184</f>
        <v>202000</v>
      </c>
    </row>
    <row r="178" spans="1:5" ht="21.75">
      <c r="A178" s="7" t="s">
        <v>226</v>
      </c>
      <c r="B178" s="10" t="s">
        <v>227</v>
      </c>
      <c r="C178" s="42">
        <v>4812.49</v>
      </c>
      <c r="D178" s="11">
        <f>C178+17364.93</f>
        <v>22177.42</v>
      </c>
      <c r="E178" s="11">
        <v>115000</v>
      </c>
    </row>
    <row r="179" spans="1:5" ht="21.75">
      <c r="A179" s="7" t="s">
        <v>229</v>
      </c>
      <c r="B179" s="10"/>
      <c r="C179" s="12">
        <v>4812.49</v>
      </c>
      <c r="D179" s="12">
        <f>C179+17364.93</f>
        <v>22177.42</v>
      </c>
      <c r="E179" s="39">
        <v>80000</v>
      </c>
    </row>
    <row r="180" spans="1:5" ht="21.75">
      <c r="A180" s="7" t="s">
        <v>230</v>
      </c>
      <c r="B180" s="10"/>
      <c r="C180" s="12" t="s">
        <v>28</v>
      </c>
      <c r="D180" s="12" t="s">
        <v>28</v>
      </c>
      <c r="E180" s="39">
        <v>15000</v>
      </c>
    </row>
    <row r="181" spans="1:5" s="43" customFormat="1" ht="21.75">
      <c r="A181" s="7" t="s">
        <v>231</v>
      </c>
      <c r="B181" s="10"/>
      <c r="C181" s="12" t="s">
        <v>28</v>
      </c>
      <c r="D181" s="12" t="s">
        <v>28</v>
      </c>
      <c r="E181" s="39">
        <v>20000</v>
      </c>
    </row>
    <row r="182" spans="1:5" s="43" customFormat="1" ht="21.75">
      <c r="A182" s="7" t="s">
        <v>232</v>
      </c>
      <c r="B182" s="10" t="s">
        <v>233</v>
      </c>
      <c r="C182" s="12">
        <v>982.27</v>
      </c>
      <c r="D182" s="12">
        <f>C182+160.5</f>
        <v>1142.77</v>
      </c>
      <c r="E182" s="11">
        <v>36000</v>
      </c>
    </row>
    <row r="183" spans="1:5" ht="21.75">
      <c r="A183" s="7" t="s">
        <v>234</v>
      </c>
      <c r="B183" s="10" t="s">
        <v>235</v>
      </c>
      <c r="C183" s="11">
        <v>7523.76</v>
      </c>
      <c r="D183" s="11">
        <f>C183+7484.12</f>
        <v>15007.880000000001</v>
      </c>
      <c r="E183" s="11">
        <v>35000</v>
      </c>
    </row>
    <row r="184" spans="1:5" ht="21.75">
      <c r="A184" s="7" t="s">
        <v>236</v>
      </c>
      <c r="B184" s="10" t="s">
        <v>237</v>
      </c>
      <c r="C184" s="12">
        <v>1000</v>
      </c>
      <c r="D184" s="11">
        <f>C184+10000</f>
        <v>11000</v>
      </c>
      <c r="E184" s="11">
        <v>16000</v>
      </c>
    </row>
    <row r="185" spans="1:5" ht="21.75">
      <c r="A185" s="4" t="s">
        <v>238</v>
      </c>
      <c r="B185" s="10" t="s">
        <v>239</v>
      </c>
      <c r="C185" s="21">
        <f>C194+C196+C198+C200+C187</f>
        <v>92000</v>
      </c>
      <c r="D185" s="21">
        <f>D194+D196+D198+D199+D200+D187</f>
        <v>122000</v>
      </c>
      <c r="E185" s="9">
        <f>E186</f>
        <v>669000</v>
      </c>
    </row>
    <row r="186" spans="1:5" ht="21.75">
      <c r="A186" s="7" t="s">
        <v>240</v>
      </c>
      <c r="B186" s="10" t="s">
        <v>241</v>
      </c>
      <c r="C186" s="60" t="s">
        <v>28</v>
      </c>
      <c r="D186" s="60" t="s">
        <v>28</v>
      </c>
      <c r="E186" s="45">
        <v>669000</v>
      </c>
    </row>
    <row r="187" spans="1:5" ht="21.75">
      <c r="A187" s="7" t="s">
        <v>242</v>
      </c>
      <c r="B187" s="10"/>
      <c r="C187" s="55">
        <v>10000</v>
      </c>
      <c r="D187" s="56">
        <f>C187</f>
        <v>10000</v>
      </c>
      <c r="E187" s="11">
        <v>10000</v>
      </c>
    </row>
    <row r="188" spans="1:5" ht="21.75">
      <c r="A188" s="26" t="s">
        <v>63</v>
      </c>
      <c r="B188" s="16"/>
      <c r="C188" s="76">
        <f aca="true" t="shared" si="0" ref="C188:E189">C187</f>
        <v>10000</v>
      </c>
      <c r="D188" s="76">
        <f t="shared" si="0"/>
        <v>10000</v>
      </c>
      <c r="E188" s="13">
        <f t="shared" si="0"/>
        <v>10000</v>
      </c>
    </row>
    <row r="189" spans="1:5" ht="21.75">
      <c r="A189" s="5" t="s">
        <v>64</v>
      </c>
      <c r="B189" s="36"/>
      <c r="C189" s="18">
        <f t="shared" si="0"/>
        <v>10000</v>
      </c>
      <c r="D189" s="18">
        <f t="shared" si="0"/>
        <v>10000</v>
      </c>
      <c r="E189" s="6">
        <f t="shared" si="0"/>
        <v>10000</v>
      </c>
    </row>
    <row r="190" spans="1:5" ht="21.75">
      <c r="A190" s="7" t="s">
        <v>242</v>
      </c>
      <c r="B190" s="10"/>
      <c r="C190" s="8" t="s">
        <v>28</v>
      </c>
      <c r="D190" s="8" t="s">
        <v>28</v>
      </c>
      <c r="E190" s="11">
        <v>20000</v>
      </c>
    </row>
    <row r="191" spans="1:5" ht="21.75">
      <c r="A191" s="7" t="s">
        <v>242</v>
      </c>
      <c r="B191" s="10"/>
      <c r="C191" s="8" t="s">
        <v>28</v>
      </c>
      <c r="D191" s="8" t="s">
        <v>28</v>
      </c>
      <c r="E191" s="11">
        <v>20000</v>
      </c>
    </row>
    <row r="192" spans="1:5" ht="21.75">
      <c r="A192" s="7" t="s">
        <v>242</v>
      </c>
      <c r="B192" s="10"/>
      <c r="C192" s="8" t="s">
        <v>28</v>
      </c>
      <c r="D192" s="8" t="s">
        <v>28</v>
      </c>
      <c r="E192" s="11">
        <v>20000</v>
      </c>
    </row>
    <row r="193" spans="1:5" ht="21.75">
      <c r="A193" s="7" t="s">
        <v>242</v>
      </c>
      <c r="B193" s="10"/>
      <c r="C193" s="8" t="s">
        <v>28</v>
      </c>
      <c r="D193" s="8" t="s">
        <v>28</v>
      </c>
      <c r="E193" s="11">
        <v>5000</v>
      </c>
    </row>
    <row r="194" spans="1:5" ht="21.75">
      <c r="A194" s="7" t="s">
        <v>242</v>
      </c>
      <c r="B194" s="10"/>
      <c r="C194" s="55">
        <v>2000</v>
      </c>
      <c r="D194" s="56">
        <f>C194</f>
        <v>2000</v>
      </c>
      <c r="E194" s="11">
        <v>2000</v>
      </c>
    </row>
    <row r="195" spans="1:5" ht="21.75">
      <c r="A195" s="7" t="s">
        <v>242</v>
      </c>
      <c r="B195" s="10"/>
      <c r="C195" s="8" t="s">
        <v>28</v>
      </c>
      <c r="D195" s="8" t="s">
        <v>28</v>
      </c>
      <c r="E195" s="11">
        <v>2000</v>
      </c>
    </row>
    <row r="196" spans="1:5" ht="21.75">
      <c r="A196" s="7" t="s">
        <v>242</v>
      </c>
      <c r="B196" s="10"/>
      <c r="C196" s="55">
        <v>20000</v>
      </c>
      <c r="D196" s="56">
        <f>C196</f>
        <v>20000</v>
      </c>
      <c r="E196" s="11">
        <v>20000</v>
      </c>
    </row>
    <row r="197" spans="1:5" ht="21.75">
      <c r="A197" s="7" t="s">
        <v>242</v>
      </c>
      <c r="B197" s="10"/>
      <c r="C197" s="8" t="s">
        <v>28</v>
      </c>
      <c r="D197" s="8" t="s">
        <v>28</v>
      </c>
      <c r="E197" s="11">
        <v>2000</v>
      </c>
    </row>
    <row r="198" spans="1:5" ht="21.75">
      <c r="A198" s="7" t="s">
        <v>242</v>
      </c>
      <c r="B198" s="10"/>
      <c r="C198" s="55">
        <v>20000</v>
      </c>
      <c r="D198" s="56">
        <f>C198</f>
        <v>20000</v>
      </c>
      <c r="E198" s="11">
        <v>20000</v>
      </c>
    </row>
    <row r="199" spans="1:5" ht="21.75">
      <c r="A199" s="7" t="s">
        <v>242</v>
      </c>
      <c r="B199" s="10"/>
      <c r="C199" s="12" t="s">
        <v>28</v>
      </c>
      <c r="D199" s="56">
        <f>30000</f>
        <v>30000</v>
      </c>
      <c r="E199" s="11">
        <v>30000</v>
      </c>
    </row>
    <row r="200" spans="1:5" ht="21.75">
      <c r="A200" s="7" t="s">
        <v>242</v>
      </c>
      <c r="B200" s="10"/>
      <c r="C200" s="55">
        <v>40000</v>
      </c>
      <c r="D200" s="56">
        <f>C200</f>
        <v>40000</v>
      </c>
      <c r="E200" s="11">
        <v>40000</v>
      </c>
    </row>
    <row r="201" spans="1:5" ht="21.75">
      <c r="A201" s="7" t="s">
        <v>243</v>
      </c>
      <c r="B201" s="10"/>
      <c r="C201" s="8" t="s">
        <v>28</v>
      </c>
      <c r="D201" s="8" t="s">
        <v>28</v>
      </c>
      <c r="E201" s="11">
        <v>30000</v>
      </c>
    </row>
    <row r="202" spans="1:5" ht="21.75">
      <c r="A202" s="7" t="s">
        <v>244</v>
      </c>
      <c r="B202" s="10"/>
      <c r="C202" s="8" t="s">
        <v>28</v>
      </c>
      <c r="D202" s="8" t="s">
        <v>28</v>
      </c>
      <c r="E202" s="11">
        <v>12000</v>
      </c>
    </row>
    <row r="203" spans="1:5" ht="21.75">
      <c r="A203" s="7" t="s">
        <v>244</v>
      </c>
      <c r="B203" s="10"/>
      <c r="C203" s="8" t="s">
        <v>28</v>
      </c>
      <c r="D203" s="8" t="s">
        <v>28</v>
      </c>
      <c r="E203" s="11">
        <v>52000</v>
      </c>
    </row>
    <row r="204" spans="1:5" ht="21.75">
      <c r="A204" s="7" t="s">
        <v>245</v>
      </c>
      <c r="B204" s="10"/>
      <c r="C204" s="8" t="s">
        <v>28</v>
      </c>
      <c r="D204" s="8" t="s">
        <v>28</v>
      </c>
      <c r="E204" s="11">
        <v>16000</v>
      </c>
    </row>
    <row r="205" spans="1:5" ht="21.75">
      <c r="A205" s="7" t="s">
        <v>245</v>
      </c>
      <c r="B205" s="10"/>
      <c r="C205" s="8" t="s">
        <v>28</v>
      </c>
      <c r="D205" s="8" t="s">
        <v>28</v>
      </c>
      <c r="E205" s="11">
        <v>163000</v>
      </c>
    </row>
    <row r="206" spans="1:5" ht="21.75">
      <c r="A206" s="7" t="s">
        <v>246</v>
      </c>
      <c r="B206" s="10"/>
      <c r="C206" s="8" t="s">
        <v>28</v>
      </c>
      <c r="D206" s="8" t="s">
        <v>28</v>
      </c>
      <c r="E206" s="11">
        <v>12000</v>
      </c>
    </row>
    <row r="207" spans="1:5" ht="21.75">
      <c r="A207" s="7" t="s">
        <v>246</v>
      </c>
      <c r="B207" s="10"/>
      <c r="C207" s="8" t="s">
        <v>28</v>
      </c>
      <c r="D207" s="8" t="s">
        <v>28</v>
      </c>
      <c r="E207" s="11">
        <v>80000</v>
      </c>
    </row>
    <row r="208" spans="1:5" ht="21.75">
      <c r="A208" s="7" t="s">
        <v>247</v>
      </c>
      <c r="B208" s="10"/>
      <c r="C208" s="8" t="s">
        <v>28</v>
      </c>
      <c r="D208" s="8" t="s">
        <v>28</v>
      </c>
      <c r="E208" s="11">
        <v>10000</v>
      </c>
    </row>
    <row r="209" spans="1:5" ht="21.75">
      <c r="A209" s="7" t="s">
        <v>247</v>
      </c>
      <c r="B209" s="10"/>
      <c r="C209" s="8" t="s">
        <v>28</v>
      </c>
      <c r="D209" s="8" t="s">
        <v>28</v>
      </c>
      <c r="E209" s="11">
        <v>34000</v>
      </c>
    </row>
    <row r="210" spans="1:5" ht="21.75">
      <c r="A210" s="7" t="s">
        <v>248</v>
      </c>
      <c r="B210" s="10"/>
      <c r="C210" s="8" t="s">
        <v>28</v>
      </c>
      <c r="D210" s="8" t="s">
        <v>28</v>
      </c>
      <c r="E210" s="11">
        <v>10000</v>
      </c>
    </row>
    <row r="211" spans="1:5" ht="21.75">
      <c r="A211" s="7" t="s">
        <v>248</v>
      </c>
      <c r="B211" s="10"/>
      <c r="C211" s="8" t="s">
        <v>28</v>
      </c>
      <c r="D211" s="8" t="s">
        <v>28</v>
      </c>
      <c r="E211" s="11">
        <v>29000</v>
      </c>
    </row>
    <row r="212" spans="1:5" ht="21.75">
      <c r="A212" s="7" t="s">
        <v>249</v>
      </c>
      <c r="B212" s="10"/>
      <c r="C212" s="8" t="s">
        <v>28</v>
      </c>
      <c r="D212" s="8" t="s">
        <v>28</v>
      </c>
      <c r="E212" s="11">
        <v>30000</v>
      </c>
    </row>
    <row r="213" spans="1:5" ht="21.75">
      <c r="A213" s="4" t="s">
        <v>250</v>
      </c>
      <c r="B213" s="10"/>
      <c r="C213" s="62">
        <f>C214</f>
        <v>120255.72</v>
      </c>
      <c r="D213" s="62">
        <f>C213</f>
        <v>120255.72</v>
      </c>
      <c r="E213" s="9">
        <f>E214</f>
        <v>11919673</v>
      </c>
    </row>
    <row r="214" spans="1:5" ht="21.75">
      <c r="A214" s="4" t="s">
        <v>251</v>
      </c>
      <c r="B214" s="10"/>
      <c r="C214" s="62">
        <f>C215</f>
        <v>120255.72</v>
      </c>
      <c r="D214" s="62">
        <f>C214</f>
        <v>120255.72</v>
      </c>
      <c r="E214" s="9">
        <f>E215+E228</f>
        <v>11919673</v>
      </c>
    </row>
    <row r="215" spans="1:5" ht="21.75">
      <c r="A215" s="4" t="s">
        <v>252</v>
      </c>
      <c r="B215" s="10" t="s">
        <v>253</v>
      </c>
      <c r="C215" s="61">
        <f>C216+C217+C223</f>
        <v>120255.72</v>
      </c>
      <c r="D215" s="61">
        <f>C215</f>
        <v>120255.72</v>
      </c>
      <c r="E215" s="34">
        <f>E216+E217+E218+E219+E220+E221+E222+E223+E224+E227</f>
        <v>1404985</v>
      </c>
    </row>
    <row r="216" spans="1:5" ht="21.75">
      <c r="A216" s="7" t="s">
        <v>254</v>
      </c>
      <c r="B216" s="10" t="s">
        <v>255</v>
      </c>
      <c r="C216" s="55">
        <f>17000+5000+3370+6885</f>
        <v>32255</v>
      </c>
      <c r="D216" s="56">
        <f>C216</f>
        <v>32255</v>
      </c>
      <c r="E216" s="11">
        <v>426285</v>
      </c>
    </row>
    <row r="217" spans="1:5" ht="21.75">
      <c r="A217" s="7" t="s">
        <v>256</v>
      </c>
      <c r="B217" s="10" t="s">
        <v>257</v>
      </c>
      <c r="C217" s="55">
        <v>68000.72</v>
      </c>
      <c r="D217" s="56">
        <f>C217</f>
        <v>68000.72</v>
      </c>
      <c r="E217" s="11">
        <f>81000+429000</f>
        <v>510000</v>
      </c>
    </row>
    <row r="218" spans="1:5" ht="21.75">
      <c r="A218" s="7" t="s">
        <v>258</v>
      </c>
      <c r="B218" s="10" t="s">
        <v>259</v>
      </c>
      <c r="C218" s="8" t="s">
        <v>28</v>
      </c>
      <c r="D218" s="8" t="s">
        <v>28</v>
      </c>
      <c r="E218" s="11">
        <v>43000</v>
      </c>
    </row>
    <row r="219" spans="1:5" ht="21.75">
      <c r="A219" s="7" t="s">
        <v>260</v>
      </c>
      <c r="B219" s="10" t="s">
        <v>261</v>
      </c>
      <c r="C219" s="8" t="s">
        <v>28</v>
      </c>
      <c r="D219" s="8" t="s">
        <v>28</v>
      </c>
      <c r="E219" s="11">
        <v>30000</v>
      </c>
    </row>
    <row r="220" spans="1:5" ht="21.75">
      <c r="A220" s="7" t="s">
        <v>262</v>
      </c>
      <c r="B220" s="10" t="s">
        <v>263</v>
      </c>
      <c r="C220" s="8" t="s">
        <v>28</v>
      </c>
      <c r="D220" s="8" t="s">
        <v>28</v>
      </c>
      <c r="E220" s="11">
        <v>80000</v>
      </c>
    </row>
    <row r="221" spans="1:5" ht="21.75">
      <c r="A221" s="7" t="s">
        <v>264</v>
      </c>
      <c r="B221" s="10" t="s">
        <v>265</v>
      </c>
      <c r="C221" s="8" t="s">
        <v>28</v>
      </c>
      <c r="D221" s="8" t="s">
        <v>28</v>
      </c>
      <c r="E221" s="11">
        <v>26000</v>
      </c>
    </row>
    <row r="222" spans="1:5" ht="21.75">
      <c r="A222" s="7" t="s">
        <v>266</v>
      </c>
      <c r="B222" s="10" t="s">
        <v>267</v>
      </c>
      <c r="C222" s="8" t="s">
        <v>28</v>
      </c>
      <c r="D222" s="8" t="s">
        <v>28</v>
      </c>
      <c r="E222" s="11">
        <v>214000</v>
      </c>
    </row>
    <row r="223" spans="1:5" ht="21.75">
      <c r="A223" s="7" t="s">
        <v>268</v>
      </c>
      <c r="B223" s="10" t="s">
        <v>269</v>
      </c>
      <c r="C223" s="55">
        <v>20000</v>
      </c>
      <c r="D223" s="56">
        <f>C223</f>
        <v>20000</v>
      </c>
      <c r="E223" s="11">
        <v>48000</v>
      </c>
    </row>
    <row r="224" spans="1:5" ht="21.75">
      <c r="A224" s="7" t="s">
        <v>270</v>
      </c>
      <c r="B224" s="10" t="s">
        <v>257</v>
      </c>
      <c r="C224" s="8" t="s">
        <v>28</v>
      </c>
      <c r="D224" s="8" t="s">
        <v>28</v>
      </c>
      <c r="E224" s="11">
        <v>16000</v>
      </c>
    </row>
    <row r="225" spans="1:5" ht="21.75">
      <c r="A225" s="26" t="s">
        <v>63</v>
      </c>
      <c r="B225" s="16"/>
      <c r="C225" s="26" t="s">
        <v>28</v>
      </c>
      <c r="D225" s="26" t="s">
        <v>28</v>
      </c>
      <c r="E225" s="35" t="s">
        <v>28</v>
      </c>
    </row>
    <row r="226" spans="1:5" ht="21.75">
      <c r="A226" s="5" t="s">
        <v>64</v>
      </c>
      <c r="B226" s="36"/>
      <c r="C226" s="5" t="s">
        <v>28</v>
      </c>
      <c r="D226" s="5" t="s">
        <v>28</v>
      </c>
      <c r="E226" s="37" t="s">
        <v>28</v>
      </c>
    </row>
    <row r="227" spans="1:5" ht="21.75">
      <c r="A227" s="7" t="s">
        <v>318</v>
      </c>
      <c r="B227" s="10"/>
      <c r="C227" s="8" t="s">
        <v>28</v>
      </c>
      <c r="D227" s="8"/>
      <c r="E227" s="12">
        <v>11700</v>
      </c>
    </row>
    <row r="228" spans="1:5" ht="21.75">
      <c r="A228" s="4" t="s">
        <v>271</v>
      </c>
      <c r="B228" s="10" t="s">
        <v>272</v>
      </c>
      <c r="C228" s="47" t="s">
        <v>28</v>
      </c>
      <c r="D228" s="47" t="s">
        <v>28</v>
      </c>
      <c r="E228" s="34">
        <f>E229+E230+E232+E233+E234+E235+E236+E238+E240+E242+E243+E244+E246+E247+E249+E251+E252+E253+E254+E256+E257+E258+E259+E264+E266+E267+E268+E270+E271+E272+E273+E274+E275</f>
        <v>10514688</v>
      </c>
    </row>
    <row r="229" spans="1:5" ht="21.75">
      <c r="A229" s="7" t="s">
        <v>273</v>
      </c>
      <c r="B229" s="10" t="s">
        <v>274</v>
      </c>
      <c r="C229" s="8" t="s">
        <v>28</v>
      </c>
      <c r="D229" s="8" t="s">
        <v>28</v>
      </c>
      <c r="E229" s="11">
        <v>607000</v>
      </c>
    </row>
    <row r="230" spans="1:5" ht="21.75">
      <c r="A230" s="7" t="s">
        <v>275</v>
      </c>
      <c r="B230" s="10" t="s">
        <v>274</v>
      </c>
      <c r="C230" s="8" t="s">
        <v>28</v>
      </c>
      <c r="D230" s="8" t="s">
        <v>28</v>
      </c>
      <c r="E230" s="11">
        <v>119000</v>
      </c>
    </row>
    <row r="231" spans="1:5" ht="21.75">
      <c r="A231" s="7" t="s">
        <v>276</v>
      </c>
      <c r="B231" s="10"/>
      <c r="C231" s="8"/>
      <c r="D231" s="8"/>
      <c r="E231" s="11"/>
    </row>
    <row r="232" spans="1:5" ht="21.75">
      <c r="A232" s="7" t="s">
        <v>277</v>
      </c>
      <c r="B232" s="10" t="s">
        <v>274</v>
      </c>
      <c r="C232" s="8" t="s">
        <v>28</v>
      </c>
      <c r="D232" s="8" t="s">
        <v>28</v>
      </c>
      <c r="E232" s="11">
        <v>527000</v>
      </c>
    </row>
    <row r="233" spans="1:5" ht="21.75">
      <c r="A233" s="7" t="s">
        <v>278</v>
      </c>
      <c r="B233" s="10" t="s">
        <v>274</v>
      </c>
      <c r="C233" s="8" t="s">
        <v>28</v>
      </c>
      <c r="D233" s="8" t="s">
        <v>28</v>
      </c>
      <c r="E233" s="11">
        <v>43400</v>
      </c>
    </row>
    <row r="234" spans="1:5" ht="21.75">
      <c r="A234" s="7" t="s">
        <v>279</v>
      </c>
      <c r="B234" s="10" t="s">
        <v>274</v>
      </c>
      <c r="C234" s="8" t="s">
        <v>28</v>
      </c>
      <c r="D234" s="8" t="s">
        <v>28</v>
      </c>
      <c r="E234" s="11">
        <v>802000</v>
      </c>
    </row>
    <row r="235" spans="1:5" ht="21.75">
      <c r="A235" s="7" t="s">
        <v>280</v>
      </c>
      <c r="B235" s="10" t="s">
        <v>274</v>
      </c>
      <c r="C235" s="8" t="s">
        <v>28</v>
      </c>
      <c r="D235" s="8" t="s">
        <v>28</v>
      </c>
      <c r="E235" s="11">
        <v>1434000</v>
      </c>
    </row>
    <row r="236" spans="1:5" ht="21.75">
      <c r="A236" s="7" t="s">
        <v>281</v>
      </c>
      <c r="B236" s="10" t="s">
        <v>274</v>
      </c>
      <c r="C236" s="8" t="s">
        <v>28</v>
      </c>
      <c r="D236" s="8" t="s">
        <v>28</v>
      </c>
      <c r="E236" s="11">
        <v>282000</v>
      </c>
    </row>
    <row r="237" spans="1:5" ht="21.75">
      <c r="A237" s="7" t="s">
        <v>282</v>
      </c>
      <c r="B237" s="10"/>
      <c r="C237" s="8"/>
      <c r="D237" s="8"/>
      <c r="E237" s="11"/>
    </row>
    <row r="238" spans="1:5" ht="21.75">
      <c r="A238" s="7" t="s">
        <v>283</v>
      </c>
      <c r="B238" s="10" t="s">
        <v>274</v>
      </c>
      <c r="C238" s="8" t="s">
        <v>28</v>
      </c>
      <c r="D238" s="8" t="s">
        <v>28</v>
      </c>
      <c r="E238" s="11">
        <v>95000</v>
      </c>
    </row>
    <row r="239" spans="1:5" ht="21.75">
      <c r="A239" s="7" t="s">
        <v>284</v>
      </c>
      <c r="B239" s="10"/>
      <c r="C239" s="8"/>
      <c r="D239" s="8"/>
      <c r="E239" s="11"/>
    </row>
    <row r="240" spans="1:5" ht="21.75">
      <c r="A240" s="7" t="s">
        <v>285</v>
      </c>
      <c r="B240" s="10" t="s">
        <v>274</v>
      </c>
      <c r="C240" s="8" t="s">
        <v>28</v>
      </c>
      <c r="D240" s="8" t="s">
        <v>28</v>
      </c>
      <c r="E240" s="11">
        <v>530000</v>
      </c>
    </row>
    <row r="241" spans="1:5" ht="21.75">
      <c r="A241" s="7" t="s">
        <v>284</v>
      </c>
      <c r="B241" s="10"/>
      <c r="C241" s="8"/>
      <c r="D241" s="8"/>
      <c r="E241" s="11"/>
    </row>
    <row r="242" spans="1:5" ht="21.75">
      <c r="A242" s="7" t="s">
        <v>286</v>
      </c>
      <c r="B242" s="10" t="s">
        <v>274</v>
      </c>
      <c r="C242" s="8" t="s">
        <v>28</v>
      </c>
      <c r="D242" s="8" t="s">
        <v>28</v>
      </c>
      <c r="E242" s="11">
        <v>402000</v>
      </c>
    </row>
    <row r="243" spans="1:5" ht="21.75">
      <c r="A243" s="7" t="s">
        <v>287</v>
      </c>
      <c r="B243" s="10" t="s">
        <v>274</v>
      </c>
      <c r="C243" s="8" t="s">
        <v>28</v>
      </c>
      <c r="D243" s="8" t="s">
        <v>28</v>
      </c>
      <c r="E243" s="11">
        <v>200000</v>
      </c>
    </row>
    <row r="244" spans="1:5" ht="21.75">
      <c r="A244" s="7" t="s">
        <v>288</v>
      </c>
      <c r="B244" s="10" t="s">
        <v>274</v>
      </c>
      <c r="C244" s="8" t="s">
        <v>28</v>
      </c>
      <c r="D244" s="8" t="s">
        <v>28</v>
      </c>
      <c r="E244" s="11">
        <v>94000</v>
      </c>
    </row>
    <row r="245" spans="1:5" ht="21.75">
      <c r="A245" s="7" t="s">
        <v>289</v>
      </c>
      <c r="B245" s="10" t="s">
        <v>274</v>
      </c>
      <c r="C245" s="8" t="s">
        <v>28</v>
      </c>
      <c r="D245" s="8" t="s">
        <v>28</v>
      </c>
      <c r="E245" s="11"/>
    </row>
    <row r="246" spans="1:5" ht="21.75">
      <c r="A246" s="7" t="s">
        <v>290</v>
      </c>
      <c r="B246" s="10"/>
      <c r="C246" s="8"/>
      <c r="D246" s="8"/>
      <c r="E246" s="11">
        <v>1155000</v>
      </c>
    </row>
    <row r="247" spans="1:5" ht="21.75">
      <c r="A247" s="7" t="s">
        <v>291</v>
      </c>
      <c r="B247" s="10" t="s">
        <v>274</v>
      </c>
      <c r="C247" s="8" t="s">
        <v>28</v>
      </c>
      <c r="D247" s="8" t="s">
        <v>28</v>
      </c>
      <c r="E247" s="11">
        <v>61900</v>
      </c>
    </row>
    <row r="248" spans="1:5" ht="21.75">
      <c r="A248" s="7" t="s">
        <v>292</v>
      </c>
      <c r="B248" s="10"/>
      <c r="C248" s="8"/>
      <c r="D248" s="8"/>
      <c r="E248" s="11"/>
    </row>
    <row r="249" spans="1:5" ht="21.75">
      <c r="A249" s="7" t="s">
        <v>293</v>
      </c>
      <c r="B249" s="10" t="s">
        <v>274</v>
      </c>
      <c r="C249" s="8" t="s">
        <v>28</v>
      </c>
      <c r="D249" s="8" t="s">
        <v>28</v>
      </c>
      <c r="E249" s="11">
        <v>500000</v>
      </c>
    </row>
    <row r="250" spans="1:5" ht="21.75">
      <c r="A250" s="7" t="s">
        <v>294</v>
      </c>
      <c r="B250" s="10"/>
      <c r="C250" s="8"/>
      <c r="D250" s="8"/>
      <c r="E250" s="11"/>
    </row>
    <row r="251" spans="1:5" ht="21.75">
      <c r="A251" s="7" t="s">
        <v>295</v>
      </c>
      <c r="B251" s="10" t="s">
        <v>274</v>
      </c>
      <c r="C251" s="8" t="s">
        <v>28</v>
      </c>
      <c r="D251" s="8" t="s">
        <v>28</v>
      </c>
      <c r="E251" s="11">
        <v>158900</v>
      </c>
    </row>
    <row r="252" spans="1:5" ht="21.75">
      <c r="A252" s="7" t="s">
        <v>296</v>
      </c>
      <c r="B252" s="10" t="s">
        <v>274</v>
      </c>
      <c r="C252" s="8" t="s">
        <v>28</v>
      </c>
      <c r="D252" s="8" t="s">
        <v>28</v>
      </c>
      <c r="E252" s="11">
        <v>840000</v>
      </c>
    </row>
    <row r="253" spans="1:5" ht="21.75">
      <c r="A253" s="7" t="s">
        <v>297</v>
      </c>
      <c r="B253" s="10"/>
      <c r="C253" s="8" t="s">
        <v>28</v>
      </c>
      <c r="D253" s="8" t="s">
        <v>28</v>
      </c>
      <c r="E253" s="11">
        <v>477000</v>
      </c>
    </row>
    <row r="254" spans="1:5" ht="21.75">
      <c r="A254" s="7" t="s">
        <v>298</v>
      </c>
      <c r="B254" s="10" t="s">
        <v>274</v>
      </c>
      <c r="C254" s="8" t="s">
        <v>28</v>
      </c>
      <c r="D254" s="8" t="s">
        <v>28</v>
      </c>
      <c r="E254" s="11">
        <v>45500</v>
      </c>
    </row>
    <row r="255" spans="1:5" ht="21.75">
      <c r="A255" s="7" t="s">
        <v>299</v>
      </c>
      <c r="B255" s="10"/>
      <c r="C255" s="8"/>
      <c r="D255" s="8"/>
      <c r="E255" s="7"/>
    </row>
    <row r="256" spans="1:5" ht="21.75">
      <c r="A256" s="7" t="s">
        <v>300</v>
      </c>
      <c r="B256" s="10" t="s">
        <v>274</v>
      </c>
      <c r="C256" s="8" t="s">
        <v>28</v>
      </c>
      <c r="D256" s="8" t="s">
        <v>28</v>
      </c>
      <c r="E256" s="11">
        <v>405000</v>
      </c>
    </row>
    <row r="257" spans="1:5" ht="21.75">
      <c r="A257" s="7" t="s">
        <v>301</v>
      </c>
      <c r="B257" s="10" t="s">
        <v>274</v>
      </c>
      <c r="C257" s="8" t="s">
        <v>28</v>
      </c>
      <c r="D257" s="8" t="s">
        <v>28</v>
      </c>
      <c r="E257" s="11">
        <v>143000</v>
      </c>
    </row>
    <row r="258" spans="1:5" ht="21.75">
      <c r="A258" s="7" t="s">
        <v>302</v>
      </c>
      <c r="B258" s="10"/>
      <c r="C258" s="8" t="s">
        <v>28</v>
      </c>
      <c r="D258" s="8" t="s">
        <v>28</v>
      </c>
      <c r="E258" s="11">
        <v>33000</v>
      </c>
    </row>
    <row r="259" spans="1:5" ht="21.75">
      <c r="A259" s="7" t="s">
        <v>303</v>
      </c>
      <c r="B259" s="10" t="s">
        <v>304</v>
      </c>
      <c r="C259" s="8" t="s">
        <v>28</v>
      </c>
      <c r="D259" s="8" t="s">
        <v>28</v>
      </c>
      <c r="E259" s="11">
        <v>196900</v>
      </c>
    </row>
    <row r="260" spans="1:5" ht="21.75">
      <c r="A260" s="7" t="s">
        <v>305</v>
      </c>
      <c r="B260" s="10"/>
      <c r="C260" s="8" t="s">
        <v>28</v>
      </c>
      <c r="D260" s="8" t="s">
        <v>28</v>
      </c>
      <c r="E260" s="11"/>
    </row>
    <row r="261" spans="1:5" ht="21.75">
      <c r="A261" s="7"/>
      <c r="B261" s="10"/>
      <c r="C261" s="8"/>
      <c r="D261" s="8"/>
      <c r="E261" s="11"/>
    </row>
    <row r="262" spans="1:5" ht="21.75">
      <c r="A262" s="26" t="s">
        <v>63</v>
      </c>
      <c r="B262" s="16"/>
      <c r="C262" s="26" t="s">
        <v>28</v>
      </c>
      <c r="D262" s="26" t="s">
        <v>28</v>
      </c>
      <c r="E262" s="13">
        <f>SUM(E229:E265)</f>
        <v>9553500</v>
      </c>
    </row>
    <row r="263" spans="1:5" ht="21.75">
      <c r="A263" s="5" t="s">
        <v>64</v>
      </c>
      <c r="B263" s="36"/>
      <c r="C263" s="5" t="s">
        <v>28</v>
      </c>
      <c r="D263" s="5" t="s">
        <v>28</v>
      </c>
      <c r="E263" s="6">
        <f>E262</f>
        <v>9553500</v>
      </c>
    </row>
    <row r="264" spans="1:5" ht="21.75">
      <c r="A264" s="72" t="s">
        <v>345</v>
      </c>
      <c r="B264" s="10" t="s">
        <v>274</v>
      </c>
      <c r="C264" s="8" t="s">
        <v>28</v>
      </c>
      <c r="D264" s="8" t="s">
        <v>28</v>
      </c>
      <c r="E264" s="11">
        <v>401900</v>
      </c>
    </row>
    <row r="265" spans="1:5" ht="21.75">
      <c r="A265" s="7" t="s">
        <v>344</v>
      </c>
      <c r="B265" s="10"/>
      <c r="C265" s="8"/>
      <c r="D265" s="8"/>
      <c r="E265" s="11"/>
    </row>
    <row r="266" spans="1:5" ht="21.75">
      <c r="A266" s="7" t="s">
        <v>308</v>
      </c>
      <c r="B266" s="10" t="s">
        <v>304</v>
      </c>
      <c r="C266" s="8" t="s">
        <v>28</v>
      </c>
      <c r="D266" s="8" t="s">
        <v>28</v>
      </c>
      <c r="E266" s="11">
        <v>245000</v>
      </c>
    </row>
    <row r="267" spans="1:5" ht="21.75">
      <c r="A267" s="7" t="s">
        <v>309</v>
      </c>
      <c r="B267" s="10" t="s">
        <v>274</v>
      </c>
      <c r="C267" s="8" t="s">
        <v>28</v>
      </c>
      <c r="D267" s="8" t="s">
        <v>28</v>
      </c>
      <c r="E267" s="11">
        <v>80000</v>
      </c>
    </row>
    <row r="268" spans="1:5" ht="21.75">
      <c r="A268" s="7" t="s">
        <v>346</v>
      </c>
      <c r="B268" s="10" t="s">
        <v>274</v>
      </c>
      <c r="C268" s="8" t="s">
        <v>28</v>
      </c>
      <c r="D268" s="8" t="s">
        <v>28</v>
      </c>
      <c r="E268" s="11">
        <v>238500</v>
      </c>
    </row>
    <row r="269" spans="1:5" ht="21.75">
      <c r="A269" s="7" t="s">
        <v>347</v>
      </c>
      <c r="B269" s="10"/>
      <c r="C269" s="8"/>
      <c r="D269" s="8"/>
      <c r="E269" s="7"/>
    </row>
    <row r="270" spans="1:5" ht="21.75">
      <c r="A270" s="7" t="s">
        <v>312</v>
      </c>
      <c r="B270" s="10" t="s">
        <v>274</v>
      </c>
      <c r="C270" s="8" t="s">
        <v>28</v>
      </c>
      <c r="D270" s="8" t="s">
        <v>28</v>
      </c>
      <c r="E270" s="11">
        <v>53000</v>
      </c>
    </row>
    <row r="271" spans="1:5" ht="21.75">
      <c r="A271" s="7" t="s">
        <v>313</v>
      </c>
      <c r="B271" s="10" t="s">
        <v>274</v>
      </c>
      <c r="C271" s="8" t="s">
        <v>28</v>
      </c>
      <c r="D271" s="8" t="s">
        <v>28</v>
      </c>
      <c r="E271" s="11">
        <v>100000</v>
      </c>
    </row>
    <row r="272" spans="1:10" s="7" customFormat="1" ht="21.75">
      <c r="A272" s="7" t="s">
        <v>319</v>
      </c>
      <c r="B272" s="10"/>
      <c r="C272" s="8"/>
      <c r="D272" s="8"/>
      <c r="E272" s="11">
        <v>29500</v>
      </c>
      <c r="F272" s="22"/>
      <c r="G272" s="22"/>
      <c r="H272" s="22"/>
      <c r="I272" s="22"/>
      <c r="J272" s="22"/>
    </row>
    <row r="273" spans="1:10" s="7" customFormat="1" ht="21.75">
      <c r="A273" s="7" t="s">
        <v>320</v>
      </c>
      <c r="E273" s="64">
        <v>62500</v>
      </c>
      <c r="F273" s="22"/>
      <c r="G273" s="22"/>
      <c r="H273" s="22"/>
      <c r="I273" s="22"/>
      <c r="J273" s="22"/>
    </row>
    <row r="274" spans="1:10" s="7" customFormat="1" ht="21.75">
      <c r="A274" s="7" t="s">
        <v>321</v>
      </c>
      <c r="E274" s="64">
        <v>8000</v>
      </c>
      <c r="F274" s="22"/>
      <c r="G274" s="22"/>
      <c r="H274" s="22"/>
      <c r="I274" s="22"/>
      <c r="J274" s="22"/>
    </row>
    <row r="275" spans="1:10" s="7" customFormat="1" ht="21.75">
      <c r="A275" s="7" t="s">
        <v>322</v>
      </c>
      <c r="E275" s="64">
        <v>144688</v>
      </c>
      <c r="F275" s="22"/>
      <c r="G275" s="22"/>
      <c r="H275" s="22"/>
      <c r="I275" s="22"/>
      <c r="J275" s="22"/>
    </row>
    <row r="276" spans="6:10" s="7" customFormat="1" ht="21.75">
      <c r="F276" s="22"/>
      <c r="G276" s="22"/>
      <c r="H276" s="22"/>
      <c r="I276" s="22"/>
      <c r="J276" s="22"/>
    </row>
    <row r="277" spans="1:10" s="7" customFormat="1" ht="21.75">
      <c r="A277" s="7" t="s">
        <v>228</v>
      </c>
      <c r="B277" s="10"/>
      <c r="E277" s="11"/>
      <c r="F277" s="22"/>
      <c r="G277" s="22"/>
      <c r="H277" s="22"/>
      <c r="I277" s="22"/>
      <c r="J277" s="22"/>
    </row>
    <row r="278" spans="1:10" s="69" customFormat="1" ht="22.5" thickBot="1">
      <c r="A278" s="65" t="s">
        <v>314</v>
      </c>
      <c r="B278" s="66"/>
      <c r="C278" s="67">
        <f>C213+C185+C177+C157+C110+C101+C98+C90+C84</f>
        <v>2459652.04</v>
      </c>
      <c r="D278" s="67">
        <f>D213+D83</f>
        <v>4113653.63</v>
      </c>
      <c r="E278" s="68">
        <f>E214+E185+E177+E157+E110+E101+E98+E90+E84</f>
        <v>24314021</v>
      </c>
      <c r="F278" s="22"/>
      <c r="G278" s="22"/>
      <c r="H278" s="22"/>
      <c r="I278" s="22"/>
      <c r="J278" s="22"/>
    </row>
    <row r="279" spans="1:5" ht="22.5" thickTop="1">
      <c r="A279" s="63"/>
      <c r="B279" s="20"/>
      <c r="C279" s="22"/>
      <c r="D279" s="22"/>
      <c r="E279" s="54"/>
    </row>
    <row r="280" spans="1:5" ht="21.75">
      <c r="A280" s="22"/>
      <c r="B280" s="22"/>
      <c r="C280" s="22"/>
      <c r="D280" s="22"/>
      <c r="E280" s="53"/>
    </row>
    <row r="281" spans="1:5" ht="21.75">
      <c r="A281" s="22"/>
      <c r="B281" s="20"/>
      <c r="C281" s="22"/>
      <c r="D281" s="22"/>
      <c r="E281" s="54"/>
    </row>
    <row r="282" spans="1:5" ht="21.75">
      <c r="A282" s="22"/>
      <c r="B282" s="20"/>
      <c r="C282" s="22"/>
      <c r="D282" s="22"/>
      <c r="E282" s="54"/>
    </row>
    <row r="283" spans="1:5" ht="21.75">
      <c r="A283" s="22"/>
      <c r="B283" s="22"/>
      <c r="C283" s="22"/>
      <c r="D283" s="22"/>
      <c r="E283" s="54"/>
    </row>
    <row r="284" spans="1:5" ht="21.75">
      <c r="A284" s="22"/>
      <c r="B284" s="22"/>
      <c r="C284" s="22"/>
      <c r="D284" s="22"/>
      <c r="E284" s="54"/>
    </row>
    <row r="285" spans="1:5" ht="21.75">
      <c r="A285" s="22"/>
      <c r="B285" s="22"/>
      <c r="C285" s="22"/>
      <c r="D285" s="22"/>
      <c r="E285" s="54"/>
    </row>
    <row r="286" spans="1:5" ht="21.75">
      <c r="A286" s="22"/>
      <c r="B286" s="22"/>
      <c r="C286" s="22"/>
      <c r="D286" s="22"/>
      <c r="E286" s="54"/>
    </row>
    <row r="287" spans="1:5" ht="21.75">
      <c r="A287" s="22"/>
      <c r="B287" s="22"/>
      <c r="C287" s="22"/>
      <c r="D287" s="22"/>
      <c r="E287" s="54"/>
    </row>
    <row r="288" spans="1:5" ht="21.75">
      <c r="A288" s="22"/>
      <c r="B288" s="22"/>
      <c r="C288" s="22"/>
      <c r="D288" s="22"/>
      <c r="E288" s="54"/>
    </row>
    <row r="289" spans="1:5" ht="21.75">
      <c r="A289" s="22"/>
      <c r="B289" s="22"/>
      <c r="C289" s="22"/>
      <c r="D289" s="22"/>
      <c r="E289" s="54"/>
    </row>
    <row r="290" spans="1:5" ht="21.75">
      <c r="A290" s="22"/>
      <c r="B290" s="22"/>
      <c r="C290" s="22"/>
      <c r="D290" s="22"/>
      <c r="E290" s="54"/>
    </row>
    <row r="291" spans="1:5" ht="21.75">
      <c r="A291" s="22"/>
      <c r="B291" s="22"/>
      <c r="C291" s="22"/>
      <c r="D291" s="22"/>
      <c r="E291" s="54"/>
    </row>
  </sheetData>
  <sheetProtection/>
  <mergeCells count="6">
    <mergeCell ref="A78:E78"/>
    <mergeCell ref="A79:E79"/>
    <mergeCell ref="A1:E1"/>
    <mergeCell ref="A2:E2"/>
    <mergeCell ref="A3:E3"/>
    <mergeCell ref="A77:E77"/>
  </mergeCells>
  <printOptions/>
  <pageMargins left="0.1968503937007874" right="0.1968503937007874" top="0.3937007874015748" bottom="0.4330708661417323" header="0.31496062992125984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1"/>
  <sheetViews>
    <sheetView view="pageBreakPreview" zoomScale="60" zoomScalePageLayoutView="0" workbookViewId="0" topLeftCell="A1">
      <selection activeCell="L22" sqref="A1:L22"/>
    </sheetView>
  </sheetViews>
  <sheetFormatPr defaultColWidth="9.140625" defaultRowHeight="21.75"/>
  <cols>
    <col min="1" max="10" width="9.140625" style="89" customWidth="1"/>
    <col min="11" max="11" width="5.8515625" style="89" customWidth="1"/>
    <col min="12" max="16384" width="9.140625" style="89" customWidth="1"/>
  </cols>
  <sheetData>
    <row r="3" spans="1:11" ht="24">
      <c r="A3" s="102" t="s">
        <v>351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24">
      <c r="A4" s="102" t="s">
        <v>366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6" spans="1:11" ht="24">
      <c r="A6" s="102" t="s">
        <v>353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8" ht="24">
      <c r="C8" s="89" t="s">
        <v>354</v>
      </c>
    </row>
    <row r="9" ht="24">
      <c r="A9" s="89" t="s">
        <v>355</v>
      </c>
    </row>
    <row r="10" ht="24">
      <c r="A10" s="89" t="s">
        <v>356</v>
      </c>
    </row>
    <row r="11" ht="24">
      <c r="A11" s="89" t="s">
        <v>357</v>
      </c>
    </row>
    <row r="12" ht="24">
      <c r="A12" s="89" t="s">
        <v>358</v>
      </c>
    </row>
    <row r="14" ht="24">
      <c r="C14" s="89" t="s">
        <v>359</v>
      </c>
    </row>
    <row r="15" ht="24">
      <c r="A15" s="89" t="s">
        <v>367</v>
      </c>
    </row>
    <row r="17" ht="24">
      <c r="C17" s="89" t="s">
        <v>368</v>
      </c>
    </row>
    <row r="20" spans="6:9" ht="24">
      <c r="F20" s="102" t="s">
        <v>362</v>
      </c>
      <c r="G20" s="102"/>
      <c r="H20" s="102"/>
      <c r="I20" s="102"/>
    </row>
    <row r="21" spans="6:9" ht="24">
      <c r="F21" s="102" t="s">
        <v>363</v>
      </c>
      <c r="G21" s="102"/>
      <c r="H21" s="102"/>
      <c r="I21" s="102"/>
    </row>
  </sheetData>
  <sheetProtection/>
  <mergeCells count="5">
    <mergeCell ref="F21:I21"/>
    <mergeCell ref="A3:K3"/>
    <mergeCell ref="A4:K4"/>
    <mergeCell ref="A6:K6"/>
    <mergeCell ref="F20:I20"/>
  </mergeCells>
  <printOptions/>
  <pageMargins left="0.9448818897637796" right="0.4724409448818898" top="1.1811023622047245" bottom="0.7874015748031497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1"/>
  <sheetViews>
    <sheetView tabSelected="1" view="pageBreakPreview" zoomScale="80" zoomScaleSheetLayoutView="80" zoomScalePageLayoutView="0" workbookViewId="0" topLeftCell="D1">
      <selection activeCell="G9" sqref="G9"/>
    </sheetView>
  </sheetViews>
  <sheetFormatPr defaultColWidth="9.140625" defaultRowHeight="21.75"/>
  <cols>
    <col min="1" max="1" width="49.57421875" style="0" customWidth="1"/>
    <col min="2" max="2" width="8.421875" style="0" customWidth="1"/>
    <col min="3" max="3" width="16.28125" style="0" customWidth="1"/>
    <col min="4" max="4" width="15.57421875" style="0" customWidth="1"/>
    <col min="5" max="5" width="18.8515625" style="101" customWidth="1"/>
  </cols>
  <sheetData>
    <row r="1" spans="1:5" s="1" customFormat="1" ht="21">
      <c r="A1" s="103" t="s">
        <v>0</v>
      </c>
      <c r="B1" s="103"/>
      <c r="C1" s="103"/>
      <c r="D1" s="103"/>
      <c r="E1" s="103"/>
    </row>
    <row r="2" spans="1:5" s="1" customFormat="1" ht="21">
      <c r="A2" s="103" t="s">
        <v>1</v>
      </c>
      <c r="B2" s="103"/>
      <c r="C2" s="103"/>
      <c r="D2" s="103"/>
      <c r="E2" s="103"/>
    </row>
    <row r="3" spans="1:5" s="1" customFormat="1" ht="21">
      <c r="A3" s="104" t="s">
        <v>350</v>
      </c>
      <c r="B3" s="104"/>
      <c r="C3" s="104"/>
      <c r="D3" s="104"/>
      <c r="E3" s="104"/>
    </row>
    <row r="4" spans="1:5" s="1" customFormat="1" ht="21">
      <c r="A4" s="2"/>
      <c r="B4" s="2"/>
      <c r="C4" s="2"/>
      <c r="D4" s="2"/>
      <c r="E4" s="88"/>
    </row>
    <row r="5" spans="1:5" s="1" customFormat="1" ht="2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</row>
    <row r="6" spans="1:5" ht="21.75">
      <c r="A6" s="4" t="s">
        <v>8</v>
      </c>
      <c r="B6" s="5"/>
      <c r="C6" s="71">
        <f>C7+C23</f>
        <v>7346236.550000001</v>
      </c>
      <c r="D6" s="71">
        <f>D7+D23+D50</f>
        <v>16433045.65</v>
      </c>
      <c r="E6" s="71">
        <f>E7+E23+E48+E50</f>
        <v>24000000</v>
      </c>
    </row>
    <row r="7" spans="1:5" ht="21.75">
      <c r="A7" s="4" t="s">
        <v>9</v>
      </c>
      <c r="B7" s="8"/>
      <c r="C7" s="9">
        <f>C8</f>
        <v>4765256.57</v>
      </c>
      <c r="D7" s="9">
        <f>D8</f>
        <v>10656112.06</v>
      </c>
      <c r="E7" s="9">
        <v>15933000</v>
      </c>
    </row>
    <row r="8" spans="1:5" ht="21.75">
      <c r="A8" s="4" t="s">
        <v>10</v>
      </c>
      <c r="B8" s="10" t="s">
        <v>11</v>
      </c>
      <c r="C8" s="9">
        <f>C9+C10+C11+C12+C13+C14+C15+C17+C19+C20+C22</f>
        <v>4765256.57</v>
      </c>
      <c r="D8" s="9">
        <f>D9+D10+D11+D12+D13+D14+D15+D16+D17+D19+D20+D22</f>
        <v>10656112.06</v>
      </c>
      <c r="E8" s="9">
        <f>E9+E10+E11+E12+E13+E14+E15+E16+E17+E19+E20+E21+E22</f>
        <v>15933000</v>
      </c>
    </row>
    <row r="9" spans="1:5" ht="21.75">
      <c r="A9" s="7" t="s">
        <v>12</v>
      </c>
      <c r="B9" s="10" t="s">
        <v>13</v>
      </c>
      <c r="C9" s="11">
        <f>70502.91-'รับ-จ่ายม.ค.-มี.ค.'!D9</f>
        <v>16184.520000000004</v>
      </c>
      <c r="D9" s="11">
        <v>70502.91</v>
      </c>
      <c r="E9" s="11">
        <v>75000</v>
      </c>
    </row>
    <row r="10" spans="1:5" ht="21.75">
      <c r="A10" s="7" t="s">
        <v>14</v>
      </c>
      <c r="B10" s="10" t="s">
        <v>15</v>
      </c>
      <c r="C10" s="11">
        <f>807104.65-'รับ-จ่ายม.ค.-มี.ค.'!C10</f>
        <v>238538.59999999998</v>
      </c>
      <c r="D10" s="11">
        <v>807104.65</v>
      </c>
      <c r="E10" s="11">
        <v>800000</v>
      </c>
    </row>
    <row r="11" spans="1:5" ht="21.75">
      <c r="A11" s="7" t="s">
        <v>16</v>
      </c>
      <c r="B11" s="10" t="s">
        <v>17</v>
      </c>
      <c r="C11" s="11">
        <f>83865.8-'รับ-จ่ายม.ค.-มี.ค.'!C11</f>
        <v>10152.800000000003</v>
      </c>
      <c r="D11" s="11">
        <v>83865.8</v>
      </c>
      <c r="E11" s="11">
        <v>90000</v>
      </c>
    </row>
    <row r="12" spans="1:5" ht="21.75">
      <c r="A12" s="7" t="s">
        <v>18</v>
      </c>
      <c r="B12" s="10" t="s">
        <v>19</v>
      </c>
      <c r="C12" s="11">
        <f>20606.37-'รับ-จ่ายม.ค.-มี.ค.'!D12</f>
        <v>8048.369999999999</v>
      </c>
      <c r="D12" s="11">
        <v>20606.37</v>
      </c>
      <c r="E12" s="11">
        <v>20000</v>
      </c>
    </row>
    <row r="13" spans="1:5" ht="21.75">
      <c r="A13" s="7" t="s">
        <v>20</v>
      </c>
      <c r="B13" s="10" t="s">
        <v>21</v>
      </c>
      <c r="C13" s="11">
        <f>564851.14-'รับ-จ่ายม.ค.-มี.ค.'!D13</f>
        <v>222705.98000000004</v>
      </c>
      <c r="D13" s="11">
        <v>564851.14</v>
      </c>
      <c r="E13" s="11">
        <v>500000</v>
      </c>
    </row>
    <row r="14" spans="1:5" ht="21.75">
      <c r="A14" s="7" t="s">
        <v>22</v>
      </c>
      <c r="B14" s="10" t="s">
        <v>23</v>
      </c>
      <c r="C14" s="11">
        <f>3122642.21-'รับ-จ่ายม.ค.-มี.ค.'!D14</f>
        <v>818213.25</v>
      </c>
      <c r="D14" s="11">
        <v>3122642.21</v>
      </c>
      <c r="E14" s="11">
        <v>2228000</v>
      </c>
    </row>
    <row r="15" spans="1:5" ht="21.75">
      <c r="A15" s="7" t="s">
        <v>24</v>
      </c>
      <c r="B15" s="10" t="s">
        <v>25</v>
      </c>
      <c r="C15" s="11">
        <f>2575341-'รับ-จ่ายม.ค.-มี.ค.'!D15</f>
        <v>1560121</v>
      </c>
      <c r="D15" s="11">
        <v>2575341</v>
      </c>
      <c r="E15" s="11">
        <v>5000000</v>
      </c>
    </row>
    <row r="16" spans="1:5" ht="21.75">
      <c r="A16" s="7" t="s">
        <v>26</v>
      </c>
      <c r="B16" s="10" t="s">
        <v>27</v>
      </c>
      <c r="C16" s="12">
        <f>2060-'รับ-จ่ายม.ค.-มี.ค.'!D16</f>
        <v>0</v>
      </c>
      <c r="D16" s="12">
        <v>2060</v>
      </c>
      <c r="E16" s="11">
        <v>5000</v>
      </c>
    </row>
    <row r="17" spans="1:5" ht="21.75">
      <c r="A17" s="7" t="s">
        <v>29</v>
      </c>
      <c r="B17" s="10" t="s">
        <v>30</v>
      </c>
      <c r="C17" s="12">
        <f>2000-'รับ-จ่ายม.ค.-มี.ค.'!D17</f>
        <v>1700</v>
      </c>
      <c r="D17" s="12">
        <v>2000</v>
      </c>
      <c r="E17" s="11">
        <v>15000</v>
      </c>
    </row>
    <row r="18" spans="1:5" ht="21.75">
      <c r="A18" s="7" t="s">
        <v>31</v>
      </c>
      <c r="B18" s="10" t="s">
        <v>32</v>
      </c>
      <c r="C18" s="12" t="s">
        <v>28</v>
      </c>
      <c r="D18" s="12" t="s">
        <v>28</v>
      </c>
      <c r="E18" s="12" t="s">
        <v>28</v>
      </c>
    </row>
    <row r="19" spans="1:5" ht="21.75">
      <c r="A19" s="7" t="s">
        <v>33</v>
      </c>
      <c r="B19" s="10" t="s">
        <v>34</v>
      </c>
      <c r="C19" s="11">
        <f>3317996.52-'รับ-จ่ายม.ค.-มี.ค.'!D19</f>
        <v>1816205.16</v>
      </c>
      <c r="D19" s="11">
        <v>3317996.52</v>
      </c>
      <c r="E19" s="11">
        <v>7000000</v>
      </c>
    </row>
    <row r="20" spans="1:5" ht="21.75">
      <c r="A20" s="7" t="s">
        <v>35</v>
      </c>
      <c r="B20" s="10" t="s">
        <v>36</v>
      </c>
      <c r="C20" s="12">
        <f>57396.65-'รับ-จ่ายม.ค.-มี.ค.'!D20</f>
        <v>49969.15</v>
      </c>
      <c r="D20" s="12">
        <v>57396.65</v>
      </c>
      <c r="E20" s="11">
        <v>80000</v>
      </c>
    </row>
    <row r="21" spans="1:5" ht="21.75">
      <c r="A21" s="7" t="s">
        <v>37</v>
      </c>
      <c r="B21" s="10" t="s">
        <v>38</v>
      </c>
      <c r="C21" s="12" t="s">
        <v>28</v>
      </c>
      <c r="D21" s="12" t="s">
        <v>28</v>
      </c>
      <c r="E21" s="11">
        <v>20000</v>
      </c>
    </row>
    <row r="22" spans="1:5" ht="21.75">
      <c r="A22" s="7" t="s">
        <v>39</v>
      </c>
      <c r="B22" s="10" t="s">
        <v>40</v>
      </c>
      <c r="C22" s="35">
        <f>31744.81-'รับ-จ่ายม.ค.-มี.ค.'!D22</f>
        <v>23417.74</v>
      </c>
      <c r="D22" s="35">
        <v>31744.81</v>
      </c>
      <c r="E22" s="11">
        <v>100000</v>
      </c>
    </row>
    <row r="23" spans="1:5" ht="21.75">
      <c r="A23" s="4" t="s">
        <v>41</v>
      </c>
      <c r="B23" s="10"/>
      <c r="C23" s="73">
        <f>C24+C40+C43+C45+C51</f>
        <v>2580979.98</v>
      </c>
      <c r="D23" s="73">
        <f>D24+D40+D43+D45</f>
        <v>1101635.59</v>
      </c>
      <c r="E23" s="9">
        <f>E24+E40+E43+E45</f>
        <v>1052000</v>
      </c>
    </row>
    <row r="24" spans="1:5" ht="21.75">
      <c r="A24" s="4" t="s">
        <v>42</v>
      </c>
      <c r="B24" s="10" t="s">
        <v>43</v>
      </c>
      <c r="C24" s="9">
        <f>C26+C27+C29+C30+C31+C32</f>
        <v>80794</v>
      </c>
      <c r="D24" s="9">
        <f>D26+D27+D29+D30+D31+D32+D33+D35+D36</f>
        <v>726793.91</v>
      </c>
      <c r="E24" s="9">
        <f>E26+E27+E28+E29+E30+E31+E32+E33+E34+E37</f>
        <v>543000</v>
      </c>
    </row>
    <row r="25" spans="1:5" ht="21.75">
      <c r="A25" s="7" t="s">
        <v>44</v>
      </c>
      <c r="B25" s="10"/>
      <c r="C25" s="11"/>
      <c r="D25" s="11"/>
      <c r="E25" s="11"/>
    </row>
    <row r="26" spans="1:5" ht="21.75">
      <c r="A26" s="7" t="s">
        <v>45</v>
      </c>
      <c r="B26" s="10" t="s">
        <v>46</v>
      </c>
      <c r="C26" s="11">
        <f>36688.91-'รับ-จ่ายม.ค.-มี.ค.'!D26</f>
        <v>14121.000000000004</v>
      </c>
      <c r="D26" s="11">
        <v>36688.91</v>
      </c>
      <c r="E26" s="11">
        <v>40000</v>
      </c>
    </row>
    <row r="27" spans="1:5" ht="21.75">
      <c r="A27" s="7" t="s">
        <v>47</v>
      </c>
      <c r="B27" s="10" t="s">
        <v>48</v>
      </c>
      <c r="C27" s="11">
        <f>517535-'รับ-จ่ายม.ค.-มี.ค.'!D27</f>
        <v>17819</v>
      </c>
      <c r="D27" s="11">
        <v>517535</v>
      </c>
      <c r="E27" s="11">
        <v>200000</v>
      </c>
    </row>
    <row r="28" spans="1:5" ht="21.75">
      <c r="A28" s="7" t="s">
        <v>49</v>
      </c>
      <c r="B28" s="10" t="s">
        <v>50</v>
      </c>
      <c r="C28" s="12" t="s">
        <v>28</v>
      </c>
      <c r="D28" s="74" t="s">
        <v>28</v>
      </c>
      <c r="E28" s="11">
        <v>2000</v>
      </c>
    </row>
    <row r="29" spans="1:5" ht="21.75">
      <c r="A29" s="7" t="s">
        <v>51</v>
      </c>
      <c r="B29" s="10" t="s">
        <v>52</v>
      </c>
      <c r="C29" s="11">
        <f>1250-'รับ-จ่ายม.ค.-มี.ค.'!D29</f>
        <v>360</v>
      </c>
      <c r="D29" s="12">
        <v>1250</v>
      </c>
      <c r="E29" s="11">
        <v>1500</v>
      </c>
    </row>
    <row r="30" spans="1:5" ht="21.75">
      <c r="A30" s="7" t="s">
        <v>53</v>
      </c>
      <c r="B30" s="10" t="s">
        <v>54</v>
      </c>
      <c r="C30" s="11">
        <f>17048-'รับ-จ่ายม.ค.-มี.ค.'!D30</f>
        <v>2484</v>
      </c>
      <c r="D30" s="11">
        <v>17048</v>
      </c>
      <c r="E30" s="11">
        <v>4500</v>
      </c>
    </row>
    <row r="31" spans="1:5" ht="21.75">
      <c r="A31" s="7" t="s">
        <v>55</v>
      </c>
      <c r="B31" s="10" t="s">
        <v>56</v>
      </c>
      <c r="C31" s="11">
        <f>142622-'รับ-จ่ายม.ค.-มี.ค.'!D31</f>
        <v>41610</v>
      </c>
      <c r="D31" s="11">
        <v>142622</v>
      </c>
      <c r="E31" s="11">
        <v>200000</v>
      </c>
    </row>
    <row r="32" spans="1:5" ht="21.75">
      <c r="A32" s="7" t="s">
        <v>57</v>
      </c>
      <c r="B32" s="10" t="s">
        <v>60</v>
      </c>
      <c r="C32" s="12">
        <f>4400</f>
        <v>4400</v>
      </c>
      <c r="D32" s="12">
        <v>4400</v>
      </c>
      <c r="E32" s="11">
        <v>20000</v>
      </c>
    </row>
    <row r="33" spans="1:5" ht="21.75">
      <c r="A33" s="7" t="s">
        <v>59</v>
      </c>
      <c r="B33" s="10" t="s">
        <v>62</v>
      </c>
      <c r="C33" s="56" t="s">
        <v>28</v>
      </c>
      <c r="D33" s="38">
        <v>2500</v>
      </c>
      <c r="E33" s="11">
        <v>50000</v>
      </c>
    </row>
    <row r="34" spans="1:5" ht="21.75">
      <c r="A34" s="7" t="s">
        <v>61</v>
      </c>
      <c r="B34" s="10" t="s">
        <v>66</v>
      </c>
      <c r="C34" s="12" t="s">
        <v>28</v>
      </c>
      <c r="D34" s="12" t="s">
        <v>28</v>
      </c>
      <c r="E34" s="11">
        <v>5000</v>
      </c>
    </row>
    <row r="35" spans="1:5" ht="21.75">
      <c r="A35" s="7" t="s">
        <v>339</v>
      </c>
      <c r="B35" s="10" t="s">
        <v>338</v>
      </c>
      <c r="C35" s="12" t="s">
        <v>28</v>
      </c>
      <c r="D35" s="11">
        <v>3750</v>
      </c>
      <c r="E35" s="12" t="s">
        <v>28</v>
      </c>
    </row>
    <row r="36" spans="1:5" ht="21.75">
      <c r="A36" s="7" t="s">
        <v>341</v>
      </c>
      <c r="B36" s="10" t="s">
        <v>340</v>
      </c>
      <c r="C36" s="12" t="s">
        <v>28</v>
      </c>
      <c r="D36" s="11">
        <v>1000</v>
      </c>
      <c r="E36" s="12" t="s">
        <v>28</v>
      </c>
    </row>
    <row r="37" spans="1:5" ht="21.75">
      <c r="A37" s="7" t="s">
        <v>342</v>
      </c>
      <c r="B37" s="10" t="s">
        <v>343</v>
      </c>
      <c r="C37" s="12" t="s">
        <v>28</v>
      </c>
      <c r="D37" s="11"/>
      <c r="E37" s="11">
        <v>20000</v>
      </c>
    </row>
    <row r="38" spans="1:5" ht="21.75">
      <c r="A38" s="15" t="s">
        <v>63</v>
      </c>
      <c r="B38" s="16"/>
      <c r="C38" s="17">
        <f>C32+C31+C30+C29+C27+C26</f>
        <v>80794</v>
      </c>
      <c r="D38" s="17">
        <f>D36+D35+D33+D32+D31+D30+D29+D27+D26</f>
        <v>726793.91</v>
      </c>
      <c r="E38" s="13">
        <f>SUM(E26:E37)</f>
        <v>543000</v>
      </c>
    </row>
    <row r="39" spans="1:5" ht="21.75">
      <c r="A39" s="5" t="s">
        <v>64</v>
      </c>
      <c r="B39" s="5"/>
      <c r="C39" s="18">
        <f>C38</f>
        <v>80794</v>
      </c>
      <c r="D39" s="18">
        <f>D38</f>
        <v>726793.91</v>
      </c>
      <c r="E39" s="19">
        <f>E38</f>
        <v>543000</v>
      </c>
    </row>
    <row r="40" spans="1:5" ht="21.75">
      <c r="A40" s="4" t="s">
        <v>67</v>
      </c>
      <c r="B40" s="10" t="s">
        <v>68</v>
      </c>
      <c r="C40" s="21">
        <f>C41</f>
        <v>44258.979999999996</v>
      </c>
      <c r="D40" s="21">
        <f>D41</f>
        <v>73177.68</v>
      </c>
      <c r="E40" s="9">
        <f>E41+E42</f>
        <v>50000</v>
      </c>
    </row>
    <row r="41" spans="1:5" ht="21.75">
      <c r="A41" s="7" t="s">
        <v>69</v>
      </c>
      <c r="B41" s="10" t="s">
        <v>70</v>
      </c>
      <c r="C41" s="11">
        <f>73177.68-'รับ-จ่ายม.ค.-มี.ค.'!D41</f>
        <v>44258.979999999996</v>
      </c>
      <c r="D41" s="11">
        <v>73177.68</v>
      </c>
      <c r="E41" s="11">
        <v>45000</v>
      </c>
    </row>
    <row r="42" spans="1:5" ht="21.75">
      <c r="A42" s="7" t="s">
        <v>71</v>
      </c>
      <c r="B42" s="10" t="s">
        <v>72</v>
      </c>
      <c r="C42" s="12" t="s">
        <v>28</v>
      </c>
      <c r="D42" s="12" t="s">
        <v>28</v>
      </c>
      <c r="E42" s="11">
        <v>5000</v>
      </c>
    </row>
    <row r="43" spans="1:5" ht="21.75">
      <c r="A43" s="4" t="s">
        <v>73</v>
      </c>
      <c r="B43" s="10" t="s">
        <v>74</v>
      </c>
      <c r="C43" s="9">
        <f>C44</f>
        <v>51000</v>
      </c>
      <c r="D43" s="9">
        <f>D44</f>
        <v>153000</v>
      </c>
      <c r="E43" s="9">
        <f>E44</f>
        <v>204000</v>
      </c>
    </row>
    <row r="44" spans="1:5" ht="21.75">
      <c r="A44" s="7" t="s">
        <v>75</v>
      </c>
      <c r="B44" s="10" t="s">
        <v>76</v>
      </c>
      <c r="C44" s="14">
        <f>153000-'รับ-จ่ายม.ค.-มี.ค.'!D44</f>
        <v>51000</v>
      </c>
      <c r="D44" s="14">
        <v>153000</v>
      </c>
      <c r="E44" s="14">
        <v>204000</v>
      </c>
    </row>
    <row r="45" spans="1:5" ht="21.75">
      <c r="A45" s="4" t="s">
        <v>77</v>
      </c>
      <c r="B45" s="10" t="s">
        <v>78</v>
      </c>
      <c r="C45" s="9">
        <f>C46+C47</f>
        <v>67700</v>
      </c>
      <c r="D45" s="9">
        <f>D46+D47</f>
        <v>148664</v>
      </c>
      <c r="E45" s="9">
        <f>E46+E47</f>
        <v>255000</v>
      </c>
    </row>
    <row r="46" spans="1:5" ht="21.75">
      <c r="A46" s="7" t="s">
        <v>79</v>
      </c>
      <c r="B46" s="10" t="s">
        <v>80</v>
      </c>
      <c r="C46" s="11">
        <f>147264-'รับ-จ่ายม.ค.-มี.ค.'!D46</f>
        <v>67400</v>
      </c>
      <c r="D46" s="11">
        <v>147264</v>
      </c>
      <c r="E46" s="11">
        <v>250000</v>
      </c>
    </row>
    <row r="47" spans="1:5" ht="21.75">
      <c r="A47" s="7" t="s">
        <v>81</v>
      </c>
      <c r="B47" s="10" t="s">
        <v>82</v>
      </c>
      <c r="C47" s="11">
        <f>1400-'รับ-จ่ายม.ค.-มี.ค.'!D47</f>
        <v>300</v>
      </c>
      <c r="D47" s="11">
        <v>1400</v>
      </c>
      <c r="E47" s="11">
        <v>5000</v>
      </c>
    </row>
    <row r="48" spans="1:5" ht="21.75">
      <c r="A48" s="4" t="s">
        <v>83</v>
      </c>
      <c r="B48" s="10" t="s">
        <v>84</v>
      </c>
      <c r="C48" s="24" t="s">
        <v>28</v>
      </c>
      <c r="D48" s="24" t="s">
        <v>28</v>
      </c>
      <c r="E48" s="9">
        <v>10000</v>
      </c>
    </row>
    <row r="49" spans="1:5" ht="21.75">
      <c r="A49" s="7" t="s">
        <v>85</v>
      </c>
      <c r="B49" s="10" t="s">
        <v>86</v>
      </c>
      <c r="C49" s="24" t="s">
        <v>28</v>
      </c>
      <c r="D49" s="24" t="s">
        <v>28</v>
      </c>
      <c r="E49" s="11">
        <v>10000</v>
      </c>
    </row>
    <row r="50" spans="1:5" ht="21.75">
      <c r="A50" s="4" t="s">
        <v>87</v>
      </c>
      <c r="B50" s="10"/>
      <c r="C50" s="24">
        <f>C51</f>
        <v>2337227</v>
      </c>
      <c r="D50" s="24">
        <f>D51</f>
        <v>4675298</v>
      </c>
      <c r="E50" s="9">
        <f>E51+E52</f>
        <v>7005000</v>
      </c>
    </row>
    <row r="51" spans="1:5" ht="21.75">
      <c r="A51" s="7" t="s">
        <v>88</v>
      </c>
      <c r="B51" s="10" t="s">
        <v>89</v>
      </c>
      <c r="C51" s="12">
        <f>4675298-'รับ-จ่ายม.ค.-มี.ค.'!D51</f>
        <v>2337227</v>
      </c>
      <c r="D51" s="12">
        <v>4675298</v>
      </c>
      <c r="E51" s="11">
        <v>7000000</v>
      </c>
    </row>
    <row r="52" spans="1:5" ht="21.75">
      <c r="A52" s="7" t="s">
        <v>90</v>
      </c>
      <c r="B52" s="10" t="s">
        <v>91</v>
      </c>
      <c r="C52" s="12" t="s">
        <v>28</v>
      </c>
      <c r="D52" s="12" t="s">
        <v>28</v>
      </c>
      <c r="E52" s="11">
        <v>5000</v>
      </c>
    </row>
    <row r="53" spans="1:5" ht="21.75">
      <c r="A53" s="7"/>
      <c r="B53" s="10"/>
      <c r="C53" s="11"/>
      <c r="D53" s="11"/>
      <c r="E53" s="11"/>
    </row>
    <row r="54" spans="1:5" ht="21.75">
      <c r="A54" s="25" t="s">
        <v>92</v>
      </c>
      <c r="B54" s="26"/>
      <c r="C54" s="27">
        <f>C23+C7</f>
        <v>7346236.550000001</v>
      </c>
      <c r="D54" s="75">
        <f>D23+D7+D51</f>
        <v>16433045.65</v>
      </c>
      <c r="E54" s="27">
        <f>E50+E48+E45+E43+E40+E24+E8</f>
        <v>24000000</v>
      </c>
    </row>
    <row r="55" spans="1:5" ht="21.75">
      <c r="A55" s="28"/>
      <c r="B55" s="20"/>
      <c r="C55" s="29"/>
      <c r="D55" s="29"/>
      <c r="E55" s="98"/>
    </row>
    <row r="56" spans="1:5" ht="21.75">
      <c r="A56" s="28"/>
      <c r="B56" s="20"/>
      <c r="C56" s="29"/>
      <c r="D56" s="29"/>
      <c r="E56" s="98"/>
    </row>
    <row r="57" spans="1:5" ht="21.75">
      <c r="A57" s="28"/>
      <c r="B57" s="20"/>
      <c r="C57" s="29"/>
      <c r="D57" s="29"/>
      <c r="E57" s="98"/>
    </row>
    <row r="58" spans="1:5" ht="21.75">
      <c r="A58" s="28"/>
      <c r="B58" s="20"/>
      <c r="C58" s="29"/>
      <c r="D58" s="29"/>
      <c r="E58" s="98"/>
    </row>
    <row r="59" spans="1:5" ht="21.75">
      <c r="A59" s="28"/>
      <c r="B59" s="20"/>
      <c r="C59" s="29"/>
      <c r="D59" s="29"/>
      <c r="E59" s="98"/>
    </row>
    <row r="60" spans="1:5" ht="21.75">
      <c r="A60" s="28"/>
      <c r="B60" s="20"/>
      <c r="C60" s="29"/>
      <c r="D60" s="29"/>
      <c r="E60" s="98"/>
    </row>
    <row r="61" spans="1:5" ht="21.75">
      <c r="A61" s="28"/>
      <c r="B61" s="20"/>
      <c r="C61" s="29"/>
      <c r="D61" s="29"/>
      <c r="E61" s="98"/>
    </row>
    <row r="62" spans="1:5" ht="21.75">
      <c r="A62" s="28"/>
      <c r="B62" s="20"/>
      <c r="C62" s="29"/>
      <c r="D62" s="29"/>
      <c r="E62" s="98"/>
    </row>
    <row r="63" spans="1:5" ht="21.75">
      <c r="A63" s="28"/>
      <c r="B63" s="20"/>
      <c r="C63" s="29"/>
      <c r="D63" s="29"/>
      <c r="E63" s="98"/>
    </row>
    <row r="64" spans="1:5" ht="21.75">
      <c r="A64" s="28"/>
      <c r="B64" s="20"/>
      <c r="C64" s="29"/>
      <c r="D64" s="29"/>
      <c r="E64" s="98"/>
    </row>
    <row r="65" spans="1:5" ht="21.75">
      <c r="A65" s="28"/>
      <c r="B65" s="20"/>
      <c r="C65" s="29"/>
      <c r="D65" s="29"/>
      <c r="E65" s="98"/>
    </row>
    <row r="66" spans="1:5" ht="21.75">
      <c r="A66" s="28"/>
      <c r="B66" s="20"/>
      <c r="C66" s="29"/>
      <c r="D66" s="29"/>
      <c r="E66" s="98"/>
    </row>
    <row r="67" spans="1:5" ht="21.75">
      <c r="A67" s="28"/>
      <c r="B67" s="20"/>
      <c r="C67" s="29"/>
      <c r="D67" s="29"/>
      <c r="E67" s="98"/>
    </row>
    <row r="68" spans="1:5" ht="21.75">
      <c r="A68" s="28"/>
      <c r="B68" s="20"/>
      <c r="C68" s="29"/>
      <c r="D68" s="29"/>
      <c r="E68" s="98"/>
    </row>
    <row r="69" spans="1:5" ht="21.75">
      <c r="A69" s="28"/>
      <c r="B69" s="20"/>
      <c r="C69" s="29"/>
      <c r="D69" s="29"/>
      <c r="E69" s="98"/>
    </row>
    <row r="70" spans="1:5" ht="21.75">
      <c r="A70" s="28"/>
      <c r="B70" s="20"/>
      <c r="C70" s="29"/>
      <c r="D70" s="29"/>
      <c r="E70" s="98"/>
    </row>
    <row r="71" spans="1:5" ht="21.75">
      <c r="A71" s="28"/>
      <c r="B71" s="20"/>
      <c r="C71" s="29"/>
      <c r="D71" s="29"/>
      <c r="E71" s="98"/>
    </row>
    <row r="72" spans="1:5" ht="21.75">
      <c r="A72" s="28"/>
      <c r="B72" s="20"/>
      <c r="C72" s="29"/>
      <c r="D72" s="29"/>
      <c r="E72" s="98"/>
    </row>
    <row r="73" spans="1:5" ht="21.75">
      <c r="A73" s="28"/>
      <c r="B73" s="20"/>
      <c r="C73" s="29"/>
      <c r="D73" s="29"/>
      <c r="E73" s="98"/>
    </row>
    <row r="74" spans="1:5" ht="21.75">
      <c r="A74" s="28"/>
      <c r="B74" s="20"/>
      <c r="C74" s="29"/>
      <c r="D74" s="29"/>
      <c r="E74" s="98"/>
    </row>
    <row r="75" spans="1:5" ht="21.75">
      <c r="A75" s="28"/>
      <c r="B75" s="20"/>
      <c r="C75" s="29"/>
      <c r="D75" s="29"/>
      <c r="E75" s="98"/>
    </row>
    <row r="76" spans="1:5" ht="21.75">
      <c r="A76" s="28"/>
      <c r="B76" s="20"/>
      <c r="C76" s="29"/>
      <c r="D76" s="29"/>
      <c r="E76" s="98"/>
    </row>
    <row r="77" spans="1:5" s="1" customFormat="1" ht="21">
      <c r="A77" s="103" t="s">
        <v>0</v>
      </c>
      <c r="B77" s="103"/>
      <c r="C77" s="103"/>
      <c r="D77" s="103"/>
      <c r="E77" s="103"/>
    </row>
    <row r="78" spans="1:5" s="1" customFormat="1" ht="21">
      <c r="A78" s="103" t="s">
        <v>1</v>
      </c>
      <c r="B78" s="103"/>
      <c r="C78" s="103"/>
      <c r="D78" s="103"/>
      <c r="E78" s="103"/>
    </row>
    <row r="79" spans="1:5" s="1" customFormat="1" ht="21">
      <c r="A79" s="104" t="s">
        <v>348</v>
      </c>
      <c r="B79" s="104"/>
      <c r="C79" s="104"/>
      <c r="D79" s="104"/>
      <c r="E79" s="104"/>
    </row>
    <row r="80" spans="1:5" ht="21.75">
      <c r="A80" s="28"/>
      <c r="B80" s="20"/>
      <c r="C80" s="29"/>
      <c r="D80" s="29"/>
      <c r="E80" s="98"/>
    </row>
    <row r="81" spans="1:5" s="1" customFormat="1" ht="21">
      <c r="A81" s="3" t="s">
        <v>3</v>
      </c>
      <c r="B81" s="3" t="s">
        <v>4</v>
      </c>
      <c r="C81" s="3" t="s">
        <v>93</v>
      </c>
      <c r="D81" s="3" t="s">
        <v>94</v>
      </c>
      <c r="E81" s="3" t="s">
        <v>7</v>
      </c>
    </row>
    <row r="82" spans="1:5" ht="21.75">
      <c r="A82" s="30" t="s">
        <v>95</v>
      </c>
      <c r="B82" s="31"/>
      <c r="C82" s="70">
        <f>C83+C213</f>
        <v>5110274.2</v>
      </c>
      <c r="D82" s="70">
        <f>D83+D213</f>
        <v>9222122.629999999</v>
      </c>
      <c r="E82" s="71">
        <f>E83+E213</f>
        <v>23159021</v>
      </c>
    </row>
    <row r="83" spans="1:5" ht="21.75">
      <c r="A83" s="4" t="s">
        <v>96</v>
      </c>
      <c r="B83" s="10"/>
      <c r="C83" s="21">
        <f>C84+C90+C98+C100+C177+C185</f>
        <v>2861389.2</v>
      </c>
      <c r="D83" s="21">
        <f>D84+D90+D98+D100+D177+D185</f>
        <v>6852981.91</v>
      </c>
      <c r="E83" s="9">
        <f>E84+E90+E98+E100+E177+E185</f>
        <v>12394348</v>
      </c>
    </row>
    <row r="84" spans="1:5" ht="21.75">
      <c r="A84" s="4" t="s">
        <v>97</v>
      </c>
      <c r="B84" s="10" t="s">
        <v>98</v>
      </c>
      <c r="C84" s="62">
        <f>C86+C88+C89</f>
        <v>266876</v>
      </c>
      <c r="D84" s="62">
        <f>C84+229918</f>
        <v>496794</v>
      </c>
      <c r="E84" s="9">
        <f>E85+E86+E87+E88+E89</f>
        <v>938811</v>
      </c>
    </row>
    <row r="85" spans="1:5" ht="21.75">
      <c r="A85" s="33" t="s">
        <v>337</v>
      </c>
      <c r="B85" s="10" t="s">
        <v>100</v>
      </c>
      <c r="C85" s="12" t="s">
        <v>28</v>
      </c>
      <c r="D85" s="56">
        <v>169950</v>
      </c>
      <c r="E85" s="11">
        <v>240000</v>
      </c>
    </row>
    <row r="86" spans="1:5" ht="21.75">
      <c r="A86" s="7" t="s">
        <v>101</v>
      </c>
      <c r="B86" s="10" t="s">
        <v>102</v>
      </c>
      <c r="C86" s="38">
        <v>26616</v>
      </c>
      <c r="D86" s="56">
        <f>C86+38468</f>
        <v>65084</v>
      </c>
      <c r="E86" s="11">
        <v>101520</v>
      </c>
    </row>
    <row r="87" spans="1:5" ht="21.75">
      <c r="A87" s="7" t="s">
        <v>103</v>
      </c>
      <c r="B87" s="10"/>
      <c r="C87" s="8" t="s">
        <v>28</v>
      </c>
      <c r="D87" s="8" t="s">
        <v>28</v>
      </c>
      <c r="E87" s="11">
        <v>120000</v>
      </c>
    </row>
    <row r="88" spans="1:5" ht="21.75">
      <c r="A88" s="7" t="s">
        <v>104</v>
      </c>
      <c r="B88" s="10"/>
      <c r="C88" s="55">
        <v>165000</v>
      </c>
      <c r="D88" s="55">
        <v>165000</v>
      </c>
      <c r="E88" s="11">
        <f>264000-132000+33000</f>
        <v>165000</v>
      </c>
    </row>
    <row r="89" spans="1:5" ht="21.75">
      <c r="A89" s="7" t="s">
        <v>105</v>
      </c>
      <c r="B89" s="10" t="s">
        <v>106</v>
      </c>
      <c r="C89" s="38">
        <v>75260</v>
      </c>
      <c r="D89" s="38">
        <f>C89+21500</f>
        <v>96760</v>
      </c>
      <c r="E89" s="11">
        <f>811771-499480</f>
        <v>312291</v>
      </c>
    </row>
    <row r="90" spans="1:5" ht="21.75">
      <c r="A90" s="4" t="s">
        <v>107</v>
      </c>
      <c r="B90" s="10"/>
      <c r="C90" s="21">
        <f>C91+C92+C93+C94+C95+C96+C97</f>
        <v>611010</v>
      </c>
      <c r="D90" s="21">
        <f>C90+1166998.63</f>
        <v>1778008.63</v>
      </c>
      <c r="E90" s="9">
        <f>E91+E92+E93+E94+E95+E96+E97</f>
        <v>2457280</v>
      </c>
    </row>
    <row r="91" spans="1:5" ht="21.75">
      <c r="A91" s="7" t="s">
        <v>108</v>
      </c>
      <c r="B91" s="10" t="s">
        <v>109</v>
      </c>
      <c r="C91" s="11">
        <v>382080</v>
      </c>
      <c r="D91" s="11">
        <f>C91+719413.63</f>
        <v>1101493.63</v>
      </c>
      <c r="E91" s="11">
        <v>1536935</v>
      </c>
    </row>
    <row r="92" spans="1:5" ht="21.75">
      <c r="A92" s="7" t="s">
        <v>110</v>
      </c>
      <c r="B92" s="10" t="s">
        <v>111</v>
      </c>
      <c r="C92" s="11">
        <v>42420</v>
      </c>
      <c r="D92" s="11">
        <f>C92+77505</f>
        <v>119925</v>
      </c>
      <c r="E92" s="11">
        <f>168945+5000</f>
        <v>173945</v>
      </c>
    </row>
    <row r="93" spans="1:5" ht="21.75">
      <c r="A93" s="7" t="s">
        <v>112</v>
      </c>
      <c r="B93" s="10" t="s">
        <v>113</v>
      </c>
      <c r="C93" s="11">
        <v>74400</v>
      </c>
      <c r="D93" s="11">
        <f>C93+148800</f>
        <v>223200</v>
      </c>
      <c r="E93" s="11">
        <v>297600</v>
      </c>
    </row>
    <row r="94" spans="1:5" ht="21.75">
      <c r="A94" s="7" t="s">
        <v>114</v>
      </c>
      <c r="B94" s="10" t="s">
        <v>115</v>
      </c>
      <c r="C94" s="11">
        <v>18000</v>
      </c>
      <c r="D94" s="11">
        <f>C94+36000</f>
        <v>54000</v>
      </c>
      <c r="E94" s="11">
        <v>72000</v>
      </c>
    </row>
    <row r="95" spans="1:5" ht="21.75">
      <c r="A95" s="7" t="s">
        <v>116</v>
      </c>
      <c r="B95" s="10" t="s">
        <v>117</v>
      </c>
      <c r="C95" s="11">
        <v>74610</v>
      </c>
      <c r="D95" s="11">
        <f>C95+146280</f>
        <v>220890</v>
      </c>
      <c r="E95" s="11">
        <v>298800</v>
      </c>
    </row>
    <row r="96" spans="1:5" ht="21.75">
      <c r="A96" s="7" t="s">
        <v>118</v>
      </c>
      <c r="B96" s="10" t="s">
        <v>119</v>
      </c>
      <c r="C96" s="11">
        <f>3000+6000</f>
        <v>9000</v>
      </c>
      <c r="D96" s="11">
        <f>C96+18000</f>
        <v>27000</v>
      </c>
      <c r="E96" s="11">
        <v>36000</v>
      </c>
    </row>
    <row r="97" spans="1:5" ht="21.75">
      <c r="A97" s="7" t="s">
        <v>120</v>
      </c>
      <c r="B97" s="10" t="s">
        <v>121</v>
      </c>
      <c r="C97" s="11">
        <v>10500</v>
      </c>
      <c r="D97" s="11">
        <f>C97+21000</f>
        <v>31500</v>
      </c>
      <c r="E97" s="11">
        <v>42000</v>
      </c>
    </row>
    <row r="98" spans="1:5" ht="21.75">
      <c r="A98" s="4" t="s">
        <v>122</v>
      </c>
      <c r="B98" s="10" t="s">
        <v>123</v>
      </c>
      <c r="C98" s="9">
        <f>C99</f>
        <v>252870</v>
      </c>
      <c r="D98" s="9">
        <f>D99</f>
        <v>628440</v>
      </c>
      <c r="E98" s="9">
        <f>E99</f>
        <v>917570</v>
      </c>
    </row>
    <row r="99" spans="1:5" ht="21.75">
      <c r="A99" s="7" t="s">
        <v>124</v>
      </c>
      <c r="B99" s="10" t="s">
        <v>125</v>
      </c>
      <c r="C99" s="11">
        <v>252870</v>
      </c>
      <c r="D99" s="11">
        <f>C99+375570</f>
        <v>628440</v>
      </c>
      <c r="E99" s="11">
        <f>772040+5850+7380+66360+21840+33180+10920</f>
        <v>917570</v>
      </c>
    </row>
    <row r="100" spans="1:5" ht="21.75">
      <c r="A100" s="4" t="s">
        <v>126</v>
      </c>
      <c r="B100" s="10"/>
      <c r="C100" s="9">
        <f>C101+C110+C157</f>
        <v>1269184.57</v>
      </c>
      <c r="D100" s="9">
        <f>D101+D110+D157</f>
        <v>3316962.58</v>
      </c>
      <c r="E100" s="9">
        <f>E101+E110+E157</f>
        <v>7206687</v>
      </c>
    </row>
    <row r="101" spans="1:5" ht="21.75">
      <c r="A101" s="4" t="s">
        <v>127</v>
      </c>
      <c r="B101" s="10" t="s">
        <v>128</v>
      </c>
      <c r="C101" s="34">
        <f>C102+C103+C104+C105+C107+C108</f>
        <v>402655</v>
      </c>
      <c r="D101" s="34">
        <f>D102+D103+D104+D105+D107+D108</f>
        <v>1212489.71</v>
      </c>
      <c r="E101" s="34">
        <f>E102+E103+E104+E105+E106+E107+E108+E109</f>
        <v>1856840</v>
      </c>
    </row>
    <row r="102" spans="1:5" ht="21.75">
      <c r="A102" s="7" t="s">
        <v>129</v>
      </c>
      <c r="B102" s="10" t="s">
        <v>130</v>
      </c>
      <c r="C102" s="11">
        <f>368460</f>
        <v>368460</v>
      </c>
      <c r="D102" s="11">
        <f>C102+734808.71</f>
        <v>1103268.71</v>
      </c>
      <c r="E102" s="11">
        <f>1473840-60000</f>
        <v>1413840</v>
      </c>
    </row>
    <row r="103" spans="1:5" ht="21.75">
      <c r="A103" s="7" t="s">
        <v>131</v>
      </c>
      <c r="B103" s="10" t="s">
        <v>132</v>
      </c>
      <c r="C103" s="11">
        <v>4000</v>
      </c>
      <c r="D103" s="11">
        <f>C103+18400</f>
        <v>22400</v>
      </c>
      <c r="E103" s="11">
        <v>52000</v>
      </c>
    </row>
    <row r="104" spans="1:5" ht="21.75">
      <c r="A104" s="7" t="s">
        <v>133</v>
      </c>
      <c r="B104" s="10" t="s">
        <v>134</v>
      </c>
      <c r="C104" s="12">
        <v>4710</v>
      </c>
      <c r="D104" s="12">
        <f>C104+16150</f>
        <v>20860</v>
      </c>
      <c r="E104" s="11">
        <v>56000</v>
      </c>
    </row>
    <row r="105" spans="1:5" ht="21.75">
      <c r="A105" s="7" t="s">
        <v>135</v>
      </c>
      <c r="B105" s="10" t="s">
        <v>136</v>
      </c>
      <c r="C105" s="11">
        <v>9635</v>
      </c>
      <c r="D105" s="11">
        <f>18226+C105</f>
        <v>27861</v>
      </c>
      <c r="E105" s="11">
        <v>140000</v>
      </c>
    </row>
    <row r="106" spans="1:5" ht="21.75">
      <c r="A106" s="33" t="s">
        <v>137</v>
      </c>
      <c r="B106" s="10"/>
      <c r="C106" s="12" t="s">
        <v>28</v>
      </c>
      <c r="D106" s="12" t="s">
        <v>28</v>
      </c>
      <c r="E106" s="11">
        <v>120000</v>
      </c>
    </row>
    <row r="107" spans="1:5" ht="21.75">
      <c r="A107" s="33" t="s">
        <v>138</v>
      </c>
      <c r="B107" s="10" t="s">
        <v>139</v>
      </c>
      <c r="C107" s="12">
        <v>11050</v>
      </c>
      <c r="D107" s="12">
        <f>C107+12250</f>
        <v>23300</v>
      </c>
      <c r="E107" s="11">
        <v>20000</v>
      </c>
    </row>
    <row r="108" spans="1:5" ht="21.75">
      <c r="A108" s="7" t="s">
        <v>140</v>
      </c>
      <c r="B108" s="10" t="s">
        <v>136</v>
      </c>
      <c r="C108" s="11">
        <v>4800</v>
      </c>
      <c r="D108" s="11">
        <f>C108+10000</f>
        <v>14800</v>
      </c>
      <c r="E108" s="11">
        <v>45000</v>
      </c>
    </row>
    <row r="109" spans="1:5" ht="21.75">
      <c r="A109" s="7" t="s">
        <v>141</v>
      </c>
      <c r="B109" s="10" t="s">
        <v>142</v>
      </c>
      <c r="C109" s="12" t="s">
        <v>28</v>
      </c>
      <c r="D109" s="12" t="s">
        <v>28</v>
      </c>
      <c r="E109" s="11">
        <v>10000</v>
      </c>
    </row>
    <row r="110" spans="1:5" ht="21.75">
      <c r="A110" s="4" t="s">
        <v>143</v>
      </c>
      <c r="B110" s="10" t="s">
        <v>144</v>
      </c>
      <c r="C110" s="34">
        <f>C111+C125+C126+C139</f>
        <v>525956.75</v>
      </c>
      <c r="D110" s="34">
        <f>D111+D125+D126+D139</f>
        <v>1352095.79</v>
      </c>
      <c r="E110" s="34">
        <f>E111+E125+E126+E139</f>
        <v>3659047</v>
      </c>
    </row>
    <row r="111" spans="1:5" ht="21.75">
      <c r="A111" s="7" t="s">
        <v>145</v>
      </c>
      <c r="B111" s="10" t="s">
        <v>146</v>
      </c>
      <c r="C111" s="42">
        <f>C120+C121+C122</f>
        <v>205565</v>
      </c>
      <c r="D111" s="11">
        <f>D112+D113+D116+D120+D121+D122+D123</f>
        <v>668367</v>
      </c>
      <c r="E111" s="11">
        <f>E112+E113+E116+E117+E118+E119+E120+E121+E122+E123+E124</f>
        <v>1118545</v>
      </c>
    </row>
    <row r="112" spans="1:5" ht="21.75">
      <c r="A112" s="7" t="s">
        <v>147</v>
      </c>
      <c r="B112" s="10"/>
      <c r="C112" s="12" t="s">
        <v>28</v>
      </c>
      <c r="D112" s="12">
        <v>24310</v>
      </c>
      <c r="E112" s="11">
        <f>50000-20000-5285</f>
        <v>24715</v>
      </c>
    </row>
    <row r="113" spans="1:5" ht="21.75">
      <c r="A113" s="7" t="s">
        <v>148</v>
      </c>
      <c r="B113" s="10"/>
      <c r="C113" s="12" t="s">
        <v>28</v>
      </c>
      <c r="D113" s="12">
        <v>30465</v>
      </c>
      <c r="E113" s="11">
        <v>30465</v>
      </c>
    </row>
    <row r="114" spans="1:5" ht="21.75">
      <c r="A114" s="26" t="s">
        <v>63</v>
      </c>
      <c r="B114" s="16"/>
      <c r="C114" s="35" t="s">
        <v>28</v>
      </c>
      <c r="D114" s="35">
        <f>D112+D113</f>
        <v>54775</v>
      </c>
      <c r="E114" s="13">
        <f>SUM(E112:E113)</f>
        <v>55180</v>
      </c>
    </row>
    <row r="115" spans="1:5" ht="21.75">
      <c r="A115" s="5" t="s">
        <v>64</v>
      </c>
      <c r="B115" s="36"/>
      <c r="C115" s="37" t="str">
        <f>C114</f>
        <v>-</v>
      </c>
      <c r="D115" s="37">
        <f>D114</f>
        <v>54775</v>
      </c>
      <c r="E115" s="6">
        <f>E114</f>
        <v>55180</v>
      </c>
    </row>
    <row r="116" spans="1:5" ht="21.75">
      <c r="A116" s="7" t="s">
        <v>323</v>
      </c>
      <c r="B116" s="10"/>
      <c r="C116" s="12" t="s">
        <v>28</v>
      </c>
      <c r="D116" s="12">
        <v>2795</v>
      </c>
      <c r="E116" s="11">
        <f>50000-12490-4715</f>
        <v>32795</v>
      </c>
    </row>
    <row r="117" spans="1:5" ht="21.75">
      <c r="A117" s="7" t="s">
        <v>324</v>
      </c>
      <c r="B117" s="10"/>
      <c r="C117" s="12" t="s">
        <v>28</v>
      </c>
      <c r="D117" s="12" t="s">
        <v>28</v>
      </c>
      <c r="E117" s="11">
        <v>10000</v>
      </c>
    </row>
    <row r="118" spans="1:5" ht="21.75">
      <c r="A118" s="7" t="s">
        <v>325</v>
      </c>
      <c r="B118" s="10"/>
      <c r="C118" s="12" t="s">
        <v>28</v>
      </c>
      <c r="D118" s="12" t="s">
        <v>28</v>
      </c>
      <c r="E118" s="11">
        <v>12000</v>
      </c>
    </row>
    <row r="119" spans="1:5" ht="21.75">
      <c r="A119" s="7" t="s">
        <v>326</v>
      </c>
      <c r="B119" s="7"/>
      <c r="C119" s="12" t="s">
        <v>28</v>
      </c>
      <c r="D119" s="12" t="s">
        <v>28</v>
      </c>
      <c r="E119" s="11">
        <v>1500</v>
      </c>
    </row>
    <row r="120" spans="1:5" ht="21.75">
      <c r="A120" s="7" t="s">
        <v>327</v>
      </c>
      <c r="B120" s="10"/>
      <c r="C120" s="38">
        <v>171245</v>
      </c>
      <c r="D120" s="38">
        <f>C120+364452</f>
        <v>535697</v>
      </c>
      <c r="E120" s="38">
        <f>555920+20000+60000+80000</f>
        <v>715920</v>
      </c>
    </row>
    <row r="121" spans="1:5" ht="21.75">
      <c r="A121" s="7" t="s">
        <v>328</v>
      </c>
      <c r="B121" s="10"/>
      <c r="C121" s="38">
        <v>19500</v>
      </c>
      <c r="D121" s="38">
        <f>C121+30500</f>
        <v>50000</v>
      </c>
      <c r="E121" s="38">
        <v>120000</v>
      </c>
    </row>
    <row r="122" spans="1:5" ht="21.75">
      <c r="A122" s="7" t="s">
        <v>329</v>
      </c>
      <c r="B122" s="10"/>
      <c r="C122" s="12">
        <v>14820</v>
      </c>
      <c r="D122" s="12">
        <f>C122+7410</f>
        <v>22230</v>
      </c>
      <c r="E122" s="38">
        <v>100000</v>
      </c>
    </row>
    <row r="123" spans="1:5" ht="21.75">
      <c r="A123" s="7" t="s">
        <v>330</v>
      </c>
      <c r="B123" s="10"/>
      <c r="C123" s="12" t="s">
        <v>28</v>
      </c>
      <c r="D123" s="12">
        <f>2870</f>
        <v>2870</v>
      </c>
      <c r="E123" s="38">
        <v>30000</v>
      </c>
    </row>
    <row r="124" spans="1:5" ht="21.75">
      <c r="A124" s="7" t="s">
        <v>331</v>
      </c>
      <c r="B124" s="10"/>
      <c r="C124" s="12" t="s">
        <v>28</v>
      </c>
      <c r="D124" s="12" t="s">
        <v>28</v>
      </c>
      <c r="E124" s="38">
        <f>50000-5850-3000</f>
        <v>41150</v>
      </c>
    </row>
    <row r="125" spans="1:5" ht="21.75">
      <c r="A125" s="7" t="s">
        <v>158</v>
      </c>
      <c r="B125" s="10" t="s">
        <v>159</v>
      </c>
      <c r="C125" s="12">
        <v>22000</v>
      </c>
      <c r="D125" s="12">
        <f>C125+24887.84</f>
        <v>46887.84</v>
      </c>
      <c r="E125" s="11">
        <f>250000+70000</f>
        <v>320000</v>
      </c>
    </row>
    <row r="126" spans="1:5" ht="21.75">
      <c r="A126" s="7" t="s">
        <v>160</v>
      </c>
      <c r="B126" s="10" t="s">
        <v>161</v>
      </c>
      <c r="C126" s="11">
        <f>C128+C130+C131+C132+C133</f>
        <v>135984.12</v>
      </c>
      <c r="D126" s="11">
        <f>D127+D128+D129+D130+D131+D132+D133</f>
        <v>330290.52</v>
      </c>
      <c r="E126" s="11">
        <f>E127+E128+E129+E130+E131+E132+E133+E134</f>
        <v>1207000</v>
      </c>
    </row>
    <row r="127" spans="1:5" ht="21.75">
      <c r="A127" s="7" t="s">
        <v>162</v>
      </c>
      <c r="B127" s="10"/>
      <c r="C127" s="12" t="s">
        <v>28</v>
      </c>
      <c r="D127" s="12">
        <f>4700</f>
        <v>4700</v>
      </c>
      <c r="E127" s="11">
        <v>50000</v>
      </c>
    </row>
    <row r="128" spans="1:5" ht="21.75">
      <c r="A128" s="7" t="s">
        <v>163</v>
      </c>
      <c r="B128" s="10"/>
      <c r="C128" s="11">
        <v>2415</v>
      </c>
      <c r="D128" s="11">
        <f>C128+13306</f>
        <v>15721</v>
      </c>
      <c r="E128" s="11">
        <v>102000</v>
      </c>
    </row>
    <row r="129" spans="1:5" ht="21.75">
      <c r="A129" s="7" t="s">
        <v>164</v>
      </c>
      <c r="B129" s="10"/>
      <c r="C129" s="12" t="s">
        <v>28</v>
      </c>
      <c r="D129" s="12">
        <v>274</v>
      </c>
      <c r="E129" s="11">
        <v>15000</v>
      </c>
    </row>
    <row r="130" spans="1:5" ht="21.75">
      <c r="A130" s="72" t="s">
        <v>335</v>
      </c>
      <c r="B130" s="10"/>
      <c r="C130" s="12">
        <v>3300</v>
      </c>
      <c r="D130" s="12">
        <f>C130+2850</f>
        <v>6150</v>
      </c>
      <c r="E130" s="11">
        <v>30000</v>
      </c>
    </row>
    <row r="131" spans="1:5" ht="21.75">
      <c r="A131" s="7" t="s">
        <v>166</v>
      </c>
      <c r="B131" s="10"/>
      <c r="C131" s="11">
        <v>10000</v>
      </c>
      <c r="D131" s="11">
        <f>C131+95663.2</f>
        <v>105663.2</v>
      </c>
      <c r="E131" s="11">
        <v>300000</v>
      </c>
    </row>
    <row r="132" spans="1:5" ht="21.75">
      <c r="A132" s="7" t="s">
        <v>332</v>
      </c>
      <c r="B132" s="10"/>
      <c r="C132" s="12">
        <v>1132</v>
      </c>
      <c r="D132" s="12">
        <f>C132+7150</f>
        <v>8282</v>
      </c>
      <c r="E132" s="11">
        <v>60000</v>
      </c>
    </row>
    <row r="133" spans="1:5" ht="21.75">
      <c r="A133" s="7" t="s">
        <v>333</v>
      </c>
      <c r="B133" s="10"/>
      <c r="C133" s="11">
        <v>119137.12</v>
      </c>
      <c r="D133" s="11">
        <f>C133+70363.2</f>
        <v>189500.32</v>
      </c>
      <c r="E133" s="11">
        <f>200000+50000</f>
        <v>250000</v>
      </c>
    </row>
    <row r="134" spans="1:5" ht="21.75">
      <c r="A134" s="7" t="s">
        <v>334</v>
      </c>
      <c r="B134" s="10"/>
      <c r="C134" s="12" t="s">
        <v>28</v>
      </c>
      <c r="D134" s="12" t="s">
        <v>28</v>
      </c>
      <c r="E134" s="11">
        <v>400000</v>
      </c>
    </row>
    <row r="135" spans="1:5" ht="21.75">
      <c r="A135" s="7" t="s">
        <v>171</v>
      </c>
      <c r="B135" s="10"/>
      <c r="C135" s="12" t="s">
        <v>28</v>
      </c>
      <c r="D135" s="12" t="s">
        <v>28</v>
      </c>
      <c r="E135" s="39">
        <v>50000</v>
      </c>
    </row>
    <row r="136" spans="1:5" ht="21.75">
      <c r="A136" s="7" t="s">
        <v>172</v>
      </c>
      <c r="B136" s="10"/>
      <c r="C136" s="12" t="s">
        <v>28</v>
      </c>
      <c r="D136" s="12" t="s">
        <v>28</v>
      </c>
      <c r="E136" s="39">
        <v>100000</v>
      </c>
    </row>
    <row r="137" spans="1:5" ht="21.75">
      <c r="A137" s="7" t="s">
        <v>173</v>
      </c>
      <c r="B137" s="10"/>
      <c r="C137" s="12" t="s">
        <v>28</v>
      </c>
      <c r="D137" s="12" t="s">
        <v>28</v>
      </c>
      <c r="E137" s="39">
        <v>200000</v>
      </c>
    </row>
    <row r="138" spans="1:5" ht="21.75">
      <c r="A138" s="7" t="s">
        <v>174</v>
      </c>
      <c r="B138" s="7"/>
      <c r="C138" s="12" t="s">
        <v>28</v>
      </c>
      <c r="D138" s="12" t="s">
        <v>28</v>
      </c>
      <c r="E138" s="39">
        <v>50000</v>
      </c>
    </row>
    <row r="139" spans="1:5" ht="21.75">
      <c r="A139" s="7" t="s">
        <v>175</v>
      </c>
      <c r="B139" s="10" t="s">
        <v>176</v>
      </c>
      <c r="C139" s="11">
        <f>C141+C146+C147+C148+C153</f>
        <v>162407.63</v>
      </c>
      <c r="D139" s="11">
        <f>D141+D142+D143+D146+D147+D148+D153+D156</f>
        <v>306550.43</v>
      </c>
      <c r="E139" s="11">
        <f>E141+E142+E143+E144+E145+E146+E147+E148+E149+E153+E154+E155+E156</f>
        <v>1013502</v>
      </c>
    </row>
    <row r="140" spans="1:5" ht="21.75">
      <c r="A140" s="7" t="s">
        <v>177</v>
      </c>
      <c r="B140" s="22"/>
      <c r="C140" s="11"/>
      <c r="D140" s="11"/>
      <c r="E140" s="11"/>
    </row>
    <row r="141" spans="1:5" ht="21.75">
      <c r="A141" s="7" t="s">
        <v>317</v>
      </c>
      <c r="B141" s="10"/>
      <c r="C141" s="11">
        <v>74308</v>
      </c>
      <c r="D141" s="11">
        <f>C141+89742.8</f>
        <v>164050.8</v>
      </c>
      <c r="E141" s="11">
        <f>205000+30000+20000+30000</f>
        <v>285000</v>
      </c>
    </row>
    <row r="142" spans="1:5" ht="21.75">
      <c r="A142" s="7" t="s">
        <v>316</v>
      </c>
      <c r="B142" s="10"/>
      <c r="C142" s="12" t="s">
        <v>28</v>
      </c>
      <c r="D142" s="12">
        <f>7880</f>
        <v>7880</v>
      </c>
      <c r="E142" s="11">
        <v>25000</v>
      </c>
    </row>
    <row r="143" spans="1:5" ht="21.75">
      <c r="A143" s="57" t="s">
        <v>180</v>
      </c>
      <c r="B143" s="10"/>
      <c r="C143" s="12" t="s">
        <v>28</v>
      </c>
      <c r="D143" s="12">
        <f>17490</f>
        <v>17490</v>
      </c>
      <c r="E143" s="11">
        <f>40000-2510-20000</f>
        <v>17490</v>
      </c>
    </row>
    <row r="144" spans="1:5" ht="21.75">
      <c r="A144" s="7" t="s">
        <v>181</v>
      </c>
      <c r="B144" s="10"/>
      <c r="C144" s="12" t="s">
        <v>28</v>
      </c>
      <c r="D144" s="12" t="s">
        <v>28</v>
      </c>
      <c r="E144" s="11">
        <v>25700</v>
      </c>
    </row>
    <row r="145" spans="1:5" ht="21.75">
      <c r="A145" s="58" t="s">
        <v>182</v>
      </c>
      <c r="B145" s="10"/>
      <c r="C145" s="12" t="s">
        <v>28</v>
      </c>
      <c r="D145" s="12" t="s">
        <v>28</v>
      </c>
      <c r="E145" s="11">
        <v>10000</v>
      </c>
    </row>
    <row r="146" spans="1:5" ht="21.75">
      <c r="A146" s="40" t="s">
        <v>183</v>
      </c>
      <c r="B146" s="10"/>
      <c r="C146" s="12">
        <v>15000</v>
      </c>
      <c r="D146" s="12">
        <v>15000</v>
      </c>
      <c r="E146" s="11">
        <v>180000</v>
      </c>
    </row>
    <row r="147" spans="1:5" ht="21.75">
      <c r="A147" s="40" t="s">
        <v>184</v>
      </c>
      <c r="B147" s="10"/>
      <c r="C147" s="12">
        <v>30000</v>
      </c>
      <c r="D147" s="12">
        <f>C147+24500</f>
        <v>54500</v>
      </c>
      <c r="E147" s="11">
        <v>275312</v>
      </c>
    </row>
    <row r="148" spans="1:5" ht="21.75">
      <c r="A148" s="40" t="s">
        <v>185</v>
      </c>
      <c r="B148" s="10"/>
      <c r="C148" s="12">
        <v>2000</v>
      </c>
      <c r="D148" s="12">
        <v>2000</v>
      </c>
      <c r="E148" s="11">
        <f>50000-30000</f>
        <v>20000</v>
      </c>
    </row>
    <row r="149" spans="1:5" ht="21.75">
      <c r="A149" s="40" t="s">
        <v>186</v>
      </c>
      <c r="B149" s="10"/>
      <c r="C149" s="12" t="s">
        <v>28</v>
      </c>
      <c r="D149" s="12" t="s">
        <v>28</v>
      </c>
      <c r="E149" s="11">
        <v>30000</v>
      </c>
    </row>
    <row r="150" spans="1:5" ht="21.75">
      <c r="A150" s="40"/>
      <c r="B150" s="10"/>
      <c r="C150" s="12"/>
      <c r="D150" s="12"/>
      <c r="E150" s="11"/>
    </row>
    <row r="151" spans="1:5" ht="21.75">
      <c r="A151" s="26" t="s">
        <v>63</v>
      </c>
      <c r="B151" s="16"/>
      <c r="C151" s="35">
        <f>C148+C147+C146+C141</f>
        <v>121308</v>
      </c>
      <c r="D151" s="35">
        <f>D148+D147+D146+D143+D142</f>
        <v>96870</v>
      </c>
      <c r="E151" s="13">
        <f>E149+E148+E147+E146+E145+E144+E143+E142+E141</f>
        <v>868502</v>
      </c>
    </row>
    <row r="152" spans="1:5" ht="21.75">
      <c r="A152" s="5" t="s">
        <v>64</v>
      </c>
      <c r="B152" s="36"/>
      <c r="C152" s="37">
        <f>C151</f>
        <v>121308</v>
      </c>
      <c r="D152" s="37">
        <f>D151</f>
        <v>96870</v>
      </c>
      <c r="E152" s="6">
        <f>E151</f>
        <v>868502</v>
      </c>
    </row>
    <row r="153" spans="1:5" ht="21.75">
      <c r="A153" s="7" t="s">
        <v>187</v>
      </c>
      <c r="B153" s="10"/>
      <c r="C153" s="12">
        <v>41099.63</v>
      </c>
      <c r="D153" s="12">
        <v>41099.63</v>
      </c>
      <c r="E153" s="11">
        <v>100000</v>
      </c>
    </row>
    <row r="154" spans="1:5" ht="21.75">
      <c r="A154" s="40" t="s">
        <v>188</v>
      </c>
      <c r="B154" s="10"/>
      <c r="C154" s="12" t="s">
        <v>28</v>
      </c>
      <c r="D154" s="12" t="s">
        <v>28</v>
      </c>
      <c r="E154" s="11">
        <v>20000</v>
      </c>
    </row>
    <row r="155" spans="1:5" ht="21.75">
      <c r="A155" s="40" t="s">
        <v>189</v>
      </c>
      <c r="B155" s="10"/>
      <c r="C155" s="12" t="s">
        <v>28</v>
      </c>
      <c r="D155" s="12" t="s">
        <v>28</v>
      </c>
      <c r="E155" s="11">
        <v>20000</v>
      </c>
    </row>
    <row r="156" spans="1:5" ht="21.75">
      <c r="A156" s="7" t="s">
        <v>190</v>
      </c>
      <c r="B156" s="10"/>
      <c r="C156" s="12" t="s">
        <v>28</v>
      </c>
      <c r="D156" s="12">
        <f>4530</f>
        <v>4530</v>
      </c>
      <c r="E156" s="11">
        <v>5000</v>
      </c>
    </row>
    <row r="157" spans="1:5" ht="21.75">
      <c r="A157" s="4" t="s">
        <v>191</v>
      </c>
      <c r="B157" s="10" t="s">
        <v>192</v>
      </c>
      <c r="C157" s="34">
        <f>C158+C163+C164+C166+C169+C172</f>
        <v>340572.82</v>
      </c>
      <c r="D157" s="34">
        <f>D158+D163+D164+D165+D166+D168+D169+D170+D172</f>
        <v>752377.08</v>
      </c>
      <c r="E157" s="34">
        <f>E158+E163+E164+E165+E166+E167+E168+E169+E170+E171+E172+E176</f>
        <v>1690800</v>
      </c>
    </row>
    <row r="158" spans="1:5" ht="21.75">
      <c r="A158" s="7" t="s">
        <v>193</v>
      </c>
      <c r="B158" s="10" t="s">
        <v>194</v>
      </c>
      <c r="C158" s="11">
        <f>C159+C160</f>
        <v>51607.3</v>
      </c>
      <c r="D158" s="11">
        <v>156714.3</v>
      </c>
      <c r="E158" s="11">
        <f>E159+E160+E161</f>
        <v>290000</v>
      </c>
    </row>
    <row r="159" spans="1:5" ht="21.75">
      <c r="A159" s="40" t="s">
        <v>195</v>
      </c>
      <c r="B159" s="10"/>
      <c r="C159" s="45">
        <v>24575.3</v>
      </c>
      <c r="D159" s="45">
        <v>89266.3</v>
      </c>
      <c r="E159" s="39">
        <f>120000+15000+10000+40000</f>
        <v>185000</v>
      </c>
    </row>
    <row r="160" spans="1:5" ht="21.75">
      <c r="A160" s="40" t="s">
        <v>196</v>
      </c>
      <c r="B160" s="10"/>
      <c r="C160" s="59">
        <v>27032</v>
      </c>
      <c r="D160" s="59">
        <v>67448</v>
      </c>
      <c r="E160" s="39">
        <v>100000</v>
      </c>
    </row>
    <row r="161" spans="1:5" ht="21.75">
      <c r="A161" s="40" t="s">
        <v>197</v>
      </c>
      <c r="B161" s="10"/>
      <c r="C161" s="12" t="s">
        <v>28</v>
      </c>
      <c r="D161" s="12" t="s">
        <v>28</v>
      </c>
      <c r="E161" s="39">
        <v>5000</v>
      </c>
    </row>
    <row r="162" spans="1:5" ht="19.5" customHeight="1">
      <c r="A162" s="40" t="s">
        <v>198</v>
      </c>
      <c r="B162" s="10"/>
      <c r="C162" s="12" t="s">
        <v>28</v>
      </c>
      <c r="D162" s="12" t="s">
        <v>28</v>
      </c>
      <c r="E162" s="41" t="s">
        <v>28</v>
      </c>
    </row>
    <row r="163" spans="1:5" ht="21.75">
      <c r="A163" s="7" t="s">
        <v>199</v>
      </c>
      <c r="B163" s="10" t="s">
        <v>200</v>
      </c>
      <c r="C163" s="12">
        <v>8083</v>
      </c>
      <c r="D163" s="12">
        <f>C163+15966</f>
        <v>24049</v>
      </c>
      <c r="E163" s="11">
        <v>50000</v>
      </c>
    </row>
    <row r="164" spans="1:5" ht="21.75">
      <c r="A164" s="7" t="s">
        <v>201</v>
      </c>
      <c r="B164" s="10" t="s">
        <v>202</v>
      </c>
      <c r="C164" s="11">
        <v>111308</v>
      </c>
      <c r="D164" s="11">
        <f>C164+1775</f>
        <v>113083</v>
      </c>
      <c r="E164" s="11">
        <f>104000+60000+20000</f>
        <v>184000</v>
      </c>
    </row>
    <row r="165" spans="1:5" ht="21.75">
      <c r="A165" s="7" t="s">
        <v>203</v>
      </c>
      <c r="B165" s="10" t="s">
        <v>204</v>
      </c>
      <c r="C165" s="12" t="s">
        <v>28</v>
      </c>
      <c r="D165" s="11">
        <f>13500+14000</f>
        <v>27500</v>
      </c>
      <c r="E165" s="11">
        <v>110000</v>
      </c>
    </row>
    <row r="166" spans="1:5" ht="21.75">
      <c r="A166" s="7" t="s">
        <v>205</v>
      </c>
      <c r="B166" s="10" t="s">
        <v>206</v>
      </c>
      <c r="C166" s="12">
        <v>108539.52</v>
      </c>
      <c r="D166" s="12">
        <f>C166+16326.4</f>
        <v>124865.92</v>
      </c>
      <c r="E166" s="11">
        <f>110000+50000+25000</f>
        <v>185000</v>
      </c>
    </row>
    <row r="167" spans="1:5" ht="21.75">
      <c r="A167" s="7" t="s">
        <v>207</v>
      </c>
      <c r="B167" s="10" t="s">
        <v>208</v>
      </c>
      <c r="C167" s="12" t="s">
        <v>28</v>
      </c>
      <c r="D167" s="12" t="s">
        <v>28</v>
      </c>
      <c r="E167" s="11">
        <v>50000</v>
      </c>
    </row>
    <row r="168" spans="1:5" ht="21.75">
      <c r="A168" s="7" t="s">
        <v>209</v>
      </c>
      <c r="B168" s="10" t="s">
        <v>210</v>
      </c>
      <c r="C168" s="12" t="s">
        <v>28</v>
      </c>
      <c r="D168" s="12">
        <f>72948.86</f>
        <v>72948.86</v>
      </c>
      <c r="E168" s="11">
        <v>175000</v>
      </c>
    </row>
    <row r="169" spans="1:5" ht="21.75">
      <c r="A169" s="7" t="s">
        <v>211</v>
      </c>
      <c r="B169" s="10" t="s">
        <v>212</v>
      </c>
      <c r="C169" s="11">
        <v>52420</v>
      </c>
      <c r="D169" s="11">
        <f>C169+129681</f>
        <v>182101</v>
      </c>
      <c r="E169" s="11">
        <f>215000+40000+10000</f>
        <v>265000</v>
      </c>
    </row>
    <row r="170" spans="1:5" ht="21.75">
      <c r="A170" s="7" t="s">
        <v>213</v>
      </c>
      <c r="B170" s="10" t="s">
        <v>214</v>
      </c>
      <c r="C170" s="12" t="s">
        <v>28</v>
      </c>
      <c r="D170" s="12">
        <f>13200</f>
        <v>13200</v>
      </c>
      <c r="E170" s="11">
        <f>110000+10000</f>
        <v>120000</v>
      </c>
    </row>
    <row r="171" spans="1:5" ht="21.75">
      <c r="A171" s="7" t="s">
        <v>215</v>
      </c>
      <c r="B171" s="10" t="s">
        <v>216</v>
      </c>
      <c r="C171" s="12" t="s">
        <v>28</v>
      </c>
      <c r="D171" s="12" t="s">
        <v>28</v>
      </c>
      <c r="E171" s="11">
        <v>100000</v>
      </c>
    </row>
    <row r="172" spans="1:5" ht="21.75">
      <c r="A172" s="7" t="s">
        <v>217</v>
      </c>
      <c r="B172" s="10" t="s">
        <v>218</v>
      </c>
      <c r="C172" s="12">
        <f>C175</f>
        <v>8615</v>
      </c>
      <c r="D172" s="12">
        <f>C172+29300</f>
        <v>37915</v>
      </c>
      <c r="E172" s="11">
        <f>E173+E174+E175</f>
        <v>111800</v>
      </c>
    </row>
    <row r="173" spans="1:5" ht="21.75">
      <c r="A173" s="40" t="s">
        <v>219</v>
      </c>
      <c r="B173" s="7"/>
      <c r="C173" s="12" t="s">
        <v>28</v>
      </c>
      <c r="D173" s="12" t="s">
        <v>28</v>
      </c>
      <c r="E173" s="39">
        <v>10000</v>
      </c>
    </row>
    <row r="174" spans="1:5" ht="21.75">
      <c r="A174" s="40" t="s">
        <v>220</v>
      </c>
      <c r="B174" s="7"/>
      <c r="C174" s="12" t="s">
        <v>28</v>
      </c>
      <c r="D174" s="12" t="s">
        <v>28</v>
      </c>
      <c r="E174" s="39">
        <f>100000-50000</f>
        <v>50000</v>
      </c>
    </row>
    <row r="175" spans="1:5" ht="21.75">
      <c r="A175" s="7" t="s">
        <v>221</v>
      </c>
      <c r="B175" s="7"/>
      <c r="C175" s="77">
        <v>8615</v>
      </c>
      <c r="D175" s="78">
        <f>C175+29300</f>
        <v>37915</v>
      </c>
      <c r="E175" s="39">
        <f>33000+8800+10000</f>
        <v>51800</v>
      </c>
    </row>
    <row r="176" spans="1:5" ht="21.75">
      <c r="A176" s="7" t="s">
        <v>222</v>
      </c>
      <c r="B176" s="10" t="s">
        <v>223</v>
      </c>
      <c r="C176" s="8" t="s">
        <v>28</v>
      </c>
      <c r="D176" s="8" t="s">
        <v>28</v>
      </c>
      <c r="E176" s="11">
        <v>50000</v>
      </c>
    </row>
    <row r="177" spans="1:5" ht="21.75">
      <c r="A177" s="4" t="s">
        <v>224</v>
      </c>
      <c r="B177" s="10" t="s">
        <v>225</v>
      </c>
      <c r="C177" s="21">
        <f>C178+C182+C183+C184</f>
        <v>37448.63</v>
      </c>
      <c r="D177" s="21">
        <f>D178+D182+D183+D184</f>
        <v>86776.69999999998</v>
      </c>
      <c r="E177" s="9">
        <f>E178+E182+E183+E184</f>
        <v>205000</v>
      </c>
    </row>
    <row r="178" spans="1:5" ht="21.75">
      <c r="A178" s="7" t="s">
        <v>226</v>
      </c>
      <c r="B178" s="10" t="s">
        <v>227</v>
      </c>
      <c r="C178" s="42">
        <f>C179</f>
        <v>21821.87</v>
      </c>
      <c r="D178" s="11">
        <f>C178+22177.42</f>
        <v>43999.28999999999</v>
      </c>
      <c r="E178" s="11">
        <f>E179+E180+E181</f>
        <v>115000</v>
      </c>
    </row>
    <row r="179" spans="1:5" ht="21.75">
      <c r="A179" s="7" t="s">
        <v>229</v>
      </c>
      <c r="B179" s="10"/>
      <c r="C179" s="12">
        <v>21821.87</v>
      </c>
      <c r="D179" s="12">
        <f>4812.49+17364.93+21821.87</f>
        <v>43999.28999999999</v>
      </c>
      <c r="E179" s="39">
        <v>80000</v>
      </c>
    </row>
    <row r="180" spans="1:5" ht="21.75">
      <c r="A180" s="7" t="s">
        <v>230</v>
      </c>
      <c r="B180" s="10"/>
      <c r="C180" s="12" t="s">
        <v>28</v>
      </c>
      <c r="D180" s="12" t="s">
        <v>28</v>
      </c>
      <c r="E180" s="39">
        <v>15000</v>
      </c>
    </row>
    <row r="181" spans="1:5" s="43" customFormat="1" ht="21.75">
      <c r="A181" s="7" t="s">
        <v>231</v>
      </c>
      <c r="B181" s="10"/>
      <c r="C181" s="12" t="s">
        <v>28</v>
      </c>
      <c r="D181" s="12" t="s">
        <v>28</v>
      </c>
      <c r="E181" s="39">
        <v>20000</v>
      </c>
    </row>
    <row r="182" spans="1:5" s="43" customFormat="1" ht="21.75">
      <c r="A182" s="7" t="s">
        <v>232</v>
      </c>
      <c r="B182" s="10" t="s">
        <v>233</v>
      </c>
      <c r="C182" s="12">
        <v>3916.97</v>
      </c>
      <c r="D182" s="12">
        <f>C182+1142.77</f>
        <v>5059.74</v>
      </c>
      <c r="E182" s="11">
        <v>36000</v>
      </c>
    </row>
    <row r="183" spans="1:5" ht="21.75">
      <c r="A183" s="7" t="s">
        <v>234</v>
      </c>
      <c r="B183" s="10" t="s">
        <v>235</v>
      </c>
      <c r="C183" s="11">
        <v>7709.79</v>
      </c>
      <c r="D183" s="11">
        <f>C183+15007.88</f>
        <v>22717.67</v>
      </c>
      <c r="E183" s="11">
        <v>35000</v>
      </c>
    </row>
    <row r="184" spans="1:5" ht="21.75">
      <c r="A184" s="7" t="s">
        <v>236</v>
      </c>
      <c r="B184" s="10" t="s">
        <v>237</v>
      </c>
      <c r="C184" s="12">
        <v>4000</v>
      </c>
      <c r="D184" s="11">
        <f>C184+11000</f>
        <v>15000</v>
      </c>
      <c r="E184" s="11">
        <f>16000+3000</f>
        <v>19000</v>
      </c>
    </row>
    <row r="185" spans="1:5" ht="21.75">
      <c r="A185" s="4" t="s">
        <v>238</v>
      </c>
      <c r="B185" s="10" t="s">
        <v>239</v>
      </c>
      <c r="C185" s="21">
        <f>C186</f>
        <v>424000</v>
      </c>
      <c r="D185" s="21">
        <f>C185+122000</f>
        <v>546000</v>
      </c>
      <c r="E185" s="9">
        <f>E187+E190+E191+E192+E193+E194+E195+E196+E197+E198+E199+E200+E201+E202+E203+E204+E205+E206+E207+E208+E209+E210+E211+E212</f>
        <v>669000</v>
      </c>
    </row>
    <row r="186" spans="1:5" ht="21.75">
      <c r="A186" s="7" t="s">
        <v>240</v>
      </c>
      <c r="B186" s="10" t="s">
        <v>241</v>
      </c>
      <c r="C186" s="60">
        <f>C190+C201+C203+C204+C205+C207+C209+C211</f>
        <v>424000</v>
      </c>
      <c r="D186" s="60">
        <f>D187+D190+D194+D196+D198+D199+D200+D201+D203+D204+D205+D207+D209+D211</f>
        <v>546000</v>
      </c>
      <c r="E186" s="45">
        <f>E187+E190+E191+E192+E193+E194+E195+E196+E197+E198+E199+E200+E201+E202+E203+E204+E205+E206+E207+E208+E209+E210+E211+E212</f>
        <v>669000</v>
      </c>
    </row>
    <row r="187" spans="1:5" ht="21.75">
      <c r="A187" s="7" t="s">
        <v>242</v>
      </c>
      <c r="B187" s="10"/>
      <c r="C187" s="12" t="s">
        <v>28</v>
      </c>
      <c r="D187" s="56">
        <v>10000</v>
      </c>
      <c r="E187" s="11">
        <v>10000</v>
      </c>
    </row>
    <row r="188" spans="1:5" ht="21.75">
      <c r="A188" s="26" t="s">
        <v>63</v>
      </c>
      <c r="B188" s="16"/>
      <c r="C188" s="76" t="str">
        <f aca="true" t="shared" si="0" ref="C188:E189">C187</f>
        <v>-</v>
      </c>
      <c r="D188" s="76">
        <f t="shared" si="0"/>
        <v>10000</v>
      </c>
      <c r="E188" s="13">
        <f t="shared" si="0"/>
        <v>10000</v>
      </c>
    </row>
    <row r="189" spans="1:5" ht="21.75">
      <c r="A189" s="5" t="s">
        <v>64</v>
      </c>
      <c r="B189" s="36"/>
      <c r="C189" s="18" t="str">
        <f t="shared" si="0"/>
        <v>-</v>
      </c>
      <c r="D189" s="18">
        <f t="shared" si="0"/>
        <v>10000</v>
      </c>
      <c r="E189" s="6">
        <f t="shared" si="0"/>
        <v>10000</v>
      </c>
    </row>
    <row r="190" spans="1:5" ht="21.75">
      <c r="A190" s="7" t="s">
        <v>242</v>
      </c>
      <c r="B190" s="10"/>
      <c r="C190" s="55">
        <v>20000</v>
      </c>
      <c r="D190" s="55">
        <v>20000</v>
      </c>
      <c r="E190" s="11">
        <v>20000</v>
      </c>
    </row>
    <row r="191" spans="1:5" ht="21.75">
      <c r="A191" s="7" t="s">
        <v>242</v>
      </c>
      <c r="B191" s="10"/>
      <c r="C191" s="8" t="s">
        <v>28</v>
      </c>
      <c r="D191" s="8" t="s">
        <v>28</v>
      </c>
      <c r="E191" s="11">
        <v>20000</v>
      </c>
    </row>
    <row r="192" spans="1:5" ht="21.75">
      <c r="A192" s="7" t="s">
        <v>242</v>
      </c>
      <c r="B192" s="10"/>
      <c r="C192" s="8" t="s">
        <v>28</v>
      </c>
      <c r="D192" s="8" t="s">
        <v>28</v>
      </c>
      <c r="E192" s="11">
        <v>20000</v>
      </c>
    </row>
    <row r="193" spans="1:5" ht="21.75">
      <c r="A193" s="7" t="s">
        <v>242</v>
      </c>
      <c r="B193" s="10"/>
      <c r="C193" s="8" t="s">
        <v>28</v>
      </c>
      <c r="D193" s="8" t="s">
        <v>28</v>
      </c>
      <c r="E193" s="11">
        <v>5000</v>
      </c>
    </row>
    <row r="194" spans="1:5" ht="21.75">
      <c r="A194" s="7" t="s">
        <v>242</v>
      </c>
      <c r="B194" s="10"/>
      <c r="C194" s="12" t="s">
        <v>28</v>
      </c>
      <c r="D194" s="56">
        <v>2000</v>
      </c>
      <c r="E194" s="11">
        <v>2000</v>
      </c>
    </row>
    <row r="195" spans="1:5" ht="21.75">
      <c r="A195" s="7" t="s">
        <v>242</v>
      </c>
      <c r="B195" s="10"/>
      <c r="C195" s="8" t="s">
        <v>28</v>
      </c>
      <c r="D195" s="8" t="s">
        <v>28</v>
      </c>
      <c r="E195" s="11">
        <v>2000</v>
      </c>
    </row>
    <row r="196" spans="1:5" ht="21.75">
      <c r="A196" s="7" t="s">
        <v>242</v>
      </c>
      <c r="B196" s="10"/>
      <c r="C196" s="12" t="s">
        <v>28</v>
      </c>
      <c r="D196" s="56">
        <v>20000</v>
      </c>
      <c r="E196" s="11">
        <v>20000</v>
      </c>
    </row>
    <row r="197" spans="1:5" ht="21.75">
      <c r="A197" s="7" t="s">
        <v>242</v>
      </c>
      <c r="B197" s="10"/>
      <c r="C197" s="8" t="s">
        <v>28</v>
      </c>
      <c r="D197" s="8" t="s">
        <v>28</v>
      </c>
      <c r="E197" s="11">
        <v>2000</v>
      </c>
    </row>
    <row r="198" spans="1:5" ht="21.75">
      <c r="A198" s="7" t="s">
        <v>242</v>
      </c>
      <c r="B198" s="10"/>
      <c r="C198" s="12" t="s">
        <v>28</v>
      </c>
      <c r="D198" s="56">
        <v>20000</v>
      </c>
      <c r="E198" s="11">
        <v>20000</v>
      </c>
    </row>
    <row r="199" spans="1:5" ht="21.75">
      <c r="A199" s="7" t="s">
        <v>242</v>
      </c>
      <c r="B199" s="10"/>
      <c r="C199" s="12" t="s">
        <v>28</v>
      </c>
      <c r="D199" s="56">
        <f>30000</f>
        <v>30000</v>
      </c>
      <c r="E199" s="11">
        <v>30000</v>
      </c>
    </row>
    <row r="200" spans="1:5" ht="21.75">
      <c r="A200" s="7" t="s">
        <v>242</v>
      </c>
      <c r="B200" s="10"/>
      <c r="C200" s="12" t="s">
        <v>28</v>
      </c>
      <c r="D200" s="56">
        <v>40000</v>
      </c>
      <c r="E200" s="11">
        <v>40000</v>
      </c>
    </row>
    <row r="201" spans="1:5" ht="21.75">
      <c r="A201" s="7" t="s">
        <v>243</v>
      </c>
      <c r="B201" s="10"/>
      <c r="C201" s="55">
        <v>30000</v>
      </c>
      <c r="D201" s="55">
        <v>30000</v>
      </c>
      <c r="E201" s="11">
        <v>30000</v>
      </c>
    </row>
    <row r="202" spans="1:5" ht="21.75">
      <c r="A202" s="7" t="s">
        <v>244</v>
      </c>
      <c r="B202" s="10"/>
      <c r="C202" s="8" t="s">
        <v>28</v>
      </c>
      <c r="D202" s="8" t="s">
        <v>28</v>
      </c>
      <c r="E202" s="11">
        <v>12000</v>
      </c>
    </row>
    <row r="203" spans="1:5" ht="21.75">
      <c r="A203" s="7" t="s">
        <v>244</v>
      </c>
      <c r="B203" s="10"/>
      <c r="C203" s="55">
        <v>52000</v>
      </c>
      <c r="D203" s="55">
        <v>52000</v>
      </c>
      <c r="E203" s="11">
        <v>52000</v>
      </c>
    </row>
    <row r="204" spans="1:5" ht="21.75">
      <c r="A204" s="7" t="s">
        <v>245</v>
      </c>
      <c r="B204" s="10"/>
      <c r="C204" s="55">
        <v>16000</v>
      </c>
      <c r="D204" s="55">
        <v>16000</v>
      </c>
      <c r="E204" s="11">
        <v>16000</v>
      </c>
    </row>
    <row r="205" spans="1:5" ht="21.75">
      <c r="A205" s="7" t="s">
        <v>245</v>
      </c>
      <c r="B205" s="10"/>
      <c r="C205" s="55">
        <v>163000</v>
      </c>
      <c r="D205" s="55">
        <v>163000</v>
      </c>
      <c r="E205" s="11">
        <v>163000</v>
      </c>
    </row>
    <row r="206" spans="1:5" ht="21.75">
      <c r="A206" s="7" t="s">
        <v>246</v>
      </c>
      <c r="B206" s="10"/>
      <c r="C206" s="8" t="s">
        <v>28</v>
      </c>
      <c r="D206" s="55" t="s">
        <v>28</v>
      </c>
      <c r="E206" s="11">
        <v>12000</v>
      </c>
    </row>
    <row r="207" spans="1:5" ht="21.75">
      <c r="A207" s="7" t="s">
        <v>246</v>
      </c>
      <c r="B207" s="10"/>
      <c r="C207" s="55">
        <v>80000</v>
      </c>
      <c r="D207" s="55">
        <v>80000</v>
      </c>
      <c r="E207" s="11">
        <v>80000</v>
      </c>
    </row>
    <row r="208" spans="1:5" ht="21.75">
      <c r="A208" s="7" t="s">
        <v>247</v>
      </c>
      <c r="B208" s="10"/>
      <c r="C208" s="55" t="s">
        <v>28</v>
      </c>
      <c r="D208" s="55" t="s">
        <v>28</v>
      </c>
      <c r="E208" s="11">
        <v>10000</v>
      </c>
    </row>
    <row r="209" spans="1:5" ht="21.75">
      <c r="A209" s="7" t="s">
        <v>247</v>
      </c>
      <c r="B209" s="10"/>
      <c r="C209" s="55">
        <v>34000</v>
      </c>
      <c r="D209" s="55">
        <v>34000</v>
      </c>
      <c r="E209" s="11">
        <v>34000</v>
      </c>
    </row>
    <row r="210" spans="1:5" ht="21.75">
      <c r="A210" s="7" t="s">
        <v>248</v>
      </c>
      <c r="B210" s="10"/>
      <c r="C210" s="55" t="s">
        <v>28</v>
      </c>
      <c r="D210" s="55" t="s">
        <v>28</v>
      </c>
      <c r="E210" s="11">
        <v>10000</v>
      </c>
    </row>
    <row r="211" spans="1:5" ht="21.75">
      <c r="A211" s="7" t="s">
        <v>248</v>
      </c>
      <c r="B211" s="10"/>
      <c r="C211" s="55">
        <v>29000</v>
      </c>
      <c r="D211" s="55">
        <v>29000</v>
      </c>
      <c r="E211" s="11">
        <v>29000</v>
      </c>
    </row>
    <row r="212" spans="1:5" ht="21.75">
      <c r="A212" s="7" t="s">
        <v>249</v>
      </c>
      <c r="B212" s="10"/>
      <c r="C212" s="8" t="s">
        <v>28</v>
      </c>
      <c r="D212" s="8" t="s">
        <v>28</v>
      </c>
      <c r="E212" s="11">
        <v>30000</v>
      </c>
    </row>
    <row r="213" spans="1:5" ht="21.75">
      <c r="A213" s="4" t="s">
        <v>250</v>
      </c>
      <c r="B213" s="10"/>
      <c r="C213" s="62">
        <f>C214</f>
        <v>2248885</v>
      </c>
      <c r="D213" s="62">
        <f>D214</f>
        <v>2369140.7199999997</v>
      </c>
      <c r="E213" s="9">
        <f>E214</f>
        <v>10764673</v>
      </c>
    </row>
    <row r="214" spans="1:5" ht="21.75">
      <c r="A214" s="4" t="s">
        <v>251</v>
      </c>
      <c r="B214" s="10"/>
      <c r="C214" s="62">
        <f>C215+C228</f>
        <v>2248885</v>
      </c>
      <c r="D214" s="62">
        <f>D215+D228</f>
        <v>2369140.7199999997</v>
      </c>
      <c r="E214" s="9">
        <f>E215+E228</f>
        <v>10764673</v>
      </c>
    </row>
    <row r="215" spans="1:5" ht="21.75">
      <c r="A215" s="4" t="s">
        <v>252</v>
      </c>
      <c r="B215" s="10" t="s">
        <v>253</v>
      </c>
      <c r="C215" s="61">
        <f>C216+C217+C218+C220+C222+C223</f>
        <v>601585</v>
      </c>
      <c r="D215" s="61">
        <f>D216+D217+D218+D220+D222+D223</f>
        <v>721840.72</v>
      </c>
      <c r="E215" s="34">
        <f>E216+E217+E218+E219+E220+E221+E222+E223+E224+E227</f>
        <v>1404985</v>
      </c>
    </row>
    <row r="216" spans="1:5" ht="21.75">
      <c r="A216" s="7" t="s">
        <v>254</v>
      </c>
      <c r="B216" s="10" t="s">
        <v>255</v>
      </c>
      <c r="C216" s="12">
        <v>355585</v>
      </c>
      <c r="D216" s="56">
        <f>C216+32255</f>
        <v>387840</v>
      </c>
      <c r="E216" s="11">
        <v>426285</v>
      </c>
    </row>
    <row r="217" spans="1:5" ht="21.75">
      <c r="A217" s="7" t="s">
        <v>256</v>
      </c>
      <c r="B217" s="10" t="s">
        <v>257</v>
      </c>
      <c r="C217" s="38">
        <v>81000</v>
      </c>
      <c r="D217" s="56">
        <f>C217+68000.72</f>
        <v>149000.72</v>
      </c>
      <c r="E217" s="11">
        <f>81000+429000</f>
        <v>510000</v>
      </c>
    </row>
    <row r="218" spans="1:5" ht="21.75">
      <c r="A218" s="7" t="s">
        <v>258</v>
      </c>
      <c r="B218" s="10" t="s">
        <v>259</v>
      </c>
      <c r="C218" s="55">
        <v>43000</v>
      </c>
      <c r="D218" s="55">
        <v>43000</v>
      </c>
      <c r="E218" s="11">
        <v>43000</v>
      </c>
    </row>
    <row r="219" spans="1:5" ht="21.75">
      <c r="A219" s="7" t="s">
        <v>260</v>
      </c>
      <c r="B219" s="10" t="s">
        <v>261</v>
      </c>
      <c r="C219" s="8" t="s">
        <v>28</v>
      </c>
      <c r="D219" s="8" t="s">
        <v>28</v>
      </c>
      <c r="E219" s="11">
        <v>30000</v>
      </c>
    </row>
    <row r="220" spans="1:5" ht="21.75">
      <c r="A220" s="7" t="s">
        <v>262</v>
      </c>
      <c r="B220" s="10" t="s">
        <v>263</v>
      </c>
      <c r="C220" s="55">
        <v>60000</v>
      </c>
      <c r="D220" s="55">
        <v>60000</v>
      </c>
      <c r="E220" s="11">
        <v>80000</v>
      </c>
    </row>
    <row r="221" spans="1:5" ht="21.75">
      <c r="A221" s="7" t="s">
        <v>264</v>
      </c>
      <c r="B221" s="10" t="s">
        <v>265</v>
      </c>
      <c r="C221" s="8" t="s">
        <v>28</v>
      </c>
      <c r="D221" s="8" t="s">
        <v>28</v>
      </c>
      <c r="E221" s="11">
        <v>26000</v>
      </c>
    </row>
    <row r="222" spans="1:5" ht="21.75">
      <c r="A222" s="7" t="s">
        <v>266</v>
      </c>
      <c r="B222" s="10" t="s">
        <v>267</v>
      </c>
      <c r="C222" s="55">
        <v>14000</v>
      </c>
      <c r="D222" s="55">
        <v>14000</v>
      </c>
      <c r="E222" s="11">
        <v>214000</v>
      </c>
    </row>
    <row r="223" spans="1:5" ht="21.75">
      <c r="A223" s="7" t="s">
        <v>268</v>
      </c>
      <c r="B223" s="10" t="s">
        <v>269</v>
      </c>
      <c r="C223" s="38">
        <v>48000</v>
      </c>
      <c r="D223" s="56">
        <f>20000+48000</f>
        <v>68000</v>
      </c>
      <c r="E223" s="11">
        <v>48000</v>
      </c>
    </row>
    <row r="224" spans="1:5" ht="21.75">
      <c r="A224" s="7" t="s">
        <v>270</v>
      </c>
      <c r="B224" s="10" t="s">
        <v>257</v>
      </c>
      <c r="C224" s="8" t="s">
        <v>28</v>
      </c>
      <c r="D224" s="8" t="s">
        <v>28</v>
      </c>
      <c r="E224" s="11">
        <v>16000</v>
      </c>
    </row>
    <row r="225" spans="1:5" ht="21.75">
      <c r="A225" s="26" t="s">
        <v>63</v>
      </c>
      <c r="B225" s="10"/>
      <c r="C225" s="8" t="s">
        <v>28</v>
      </c>
      <c r="D225" s="8" t="s">
        <v>28</v>
      </c>
      <c r="E225" s="12" t="s">
        <v>28</v>
      </c>
    </row>
    <row r="226" spans="1:5" ht="21.75">
      <c r="A226" s="5" t="s">
        <v>64</v>
      </c>
      <c r="B226" s="36"/>
      <c r="C226" s="5" t="s">
        <v>28</v>
      </c>
      <c r="D226" s="5" t="s">
        <v>28</v>
      </c>
      <c r="E226" s="37" t="s">
        <v>28</v>
      </c>
    </row>
    <row r="227" spans="1:5" ht="21.75">
      <c r="A227" s="7" t="s">
        <v>349</v>
      </c>
      <c r="B227" s="10"/>
      <c r="C227" s="8" t="s">
        <v>28</v>
      </c>
      <c r="D227" s="8" t="s">
        <v>28</v>
      </c>
      <c r="E227" s="12">
        <v>11700</v>
      </c>
    </row>
    <row r="228" spans="1:5" ht="21.75">
      <c r="A228" s="4" t="s">
        <v>271</v>
      </c>
      <c r="B228" s="10" t="s">
        <v>272</v>
      </c>
      <c r="C228" s="79">
        <f>C236+C240+C242+C244+C258+C267+C270+C271+C272+C273+C274</f>
        <v>1647300</v>
      </c>
      <c r="D228" s="79">
        <f>D236+D240+D242+D244+D258+D267+D270+D271+D272+D273+D274</f>
        <v>1647300</v>
      </c>
      <c r="E228" s="34">
        <f>E229+E230+E232+E233+E234+E235+E236+E238+E240+E242+E243+E244+E246+E247+E249+E251+E252+E253+E254+E256+E257+E258+E259+E264+E266+E267+E268+E270+E271+E272+E273+E274+E275</f>
        <v>9359688</v>
      </c>
    </row>
    <row r="229" spans="1:5" ht="21.75">
      <c r="A229" s="7" t="s">
        <v>273</v>
      </c>
      <c r="B229" s="10" t="s">
        <v>274</v>
      </c>
      <c r="C229" s="8" t="s">
        <v>28</v>
      </c>
      <c r="D229" s="8" t="s">
        <v>28</v>
      </c>
      <c r="E229" s="11">
        <v>607000</v>
      </c>
    </row>
    <row r="230" spans="1:5" ht="21.75">
      <c r="A230" s="7" t="s">
        <v>275</v>
      </c>
      <c r="B230" s="10" t="s">
        <v>274</v>
      </c>
      <c r="C230" s="8" t="s">
        <v>28</v>
      </c>
      <c r="D230" s="8" t="s">
        <v>28</v>
      </c>
      <c r="E230" s="11">
        <v>119000</v>
      </c>
    </row>
    <row r="231" spans="1:5" ht="21.75">
      <c r="A231" s="7" t="s">
        <v>276</v>
      </c>
      <c r="B231" s="10"/>
      <c r="C231" s="8"/>
      <c r="D231" s="8"/>
      <c r="E231" s="11"/>
    </row>
    <row r="232" spans="1:5" ht="21.75">
      <c r="A232" s="7" t="s">
        <v>277</v>
      </c>
      <c r="B232" s="10" t="s">
        <v>274</v>
      </c>
      <c r="C232" s="8" t="s">
        <v>28</v>
      </c>
      <c r="D232" s="8" t="s">
        <v>28</v>
      </c>
      <c r="E232" s="11">
        <v>527000</v>
      </c>
    </row>
    <row r="233" spans="1:5" ht="21.75">
      <c r="A233" s="7" t="s">
        <v>278</v>
      </c>
      <c r="B233" s="10" t="s">
        <v>274</v>
      </c>
      <c r="C233" s="8" t="s">
        <v>28</v>
      </c>
      <c r="D233" s="8" t="s">
        <v>28</v>
      </c>
      <c r="E233" s="11">
        <v>43400</v>
      </c>
    </row>
    <row r="234" spans="1:5" ht="21.75">
      <c r="A234" s="7" t="s">
        <v>279</v>
      </c>
      <c r="B234" s="10" t="s">
        <v>274</v>
      </c>
      <c r="C234" s="8" t="s">
        <v>28</v>
      </c>
      <c r="D234" s="8" t="s">
        <v>28</v>
      </c>
      <c r="E234" s="11">
        <v>802000</v>
      </c>
    </row>
    <row r="235" spans="1:5" ht="21.75">
      <c r="A235" s="7" t="s">
        <v>280</v>
      </c>
      <c r="B235" s="10" t="s">
        <v>274</v>
      </c>
      <c r="C235" s="8" t="s">
        <v>28</v>
      </c>
      <c r="D235" s="8" t="s">
        <v>28</v>
      </c>
      <c r="E235" s="11">
        <v>1434000</v>
      </c>
    </row>
    <row r="236" spans="1:5" ht="21.75">
      <c r="A236" s="7" t="s">
        <v>281</v>
      </c>
      <c r="B236" s="10" t="s">
        <v>274</v>
      </c>
      <c r="C236" s="55">
        <v>279500</v>
      </c>
      <c r="D236" s="55">
        <v>279500</v>
      </c>
      <c r="E236" s="11">
        <v>282000</v>
      </c>
    </row>
    <row r="237" spans="1:5" ht="21.75">
      <c r="A237" s="7" t="s">
        <v>282</v>
      </c>
      <c r="B237" s="10"/>
      <c r="C237" s="8"/>
      <c r="D237" s="8"/>
      <c r="E237" s="11"/>
    </row>
    <row r="238" spans="1:5" ht="21.75">
      <c r="A238" s="7" t="s">
        <v>283</v>
      </c>
      <c r="B238" s="10" t="s">
        <v>274</v>
      </c>
      <c r="C238" s="8" t="s">
        <v>28</v>
      </c>
      <c r="D238" s="8" t="s">
        <v>28</v>
      </c>
      <c r="E238" s="11">
        <v>95000</v>
      </c>
    </row>
    <row r="239" spans="1:5" ht="21.75">
      <c r="A239" s="7" t="s">
        <v>284</v>
      </c>
      <c r="B239" s="10"/>
      <c r="C239" s="8"/>
      <c r="D239" s="8"/>
      <c r="E239" s="11"/>
    </row>
    <row r="240" spans="1:5" ht="21.75">
      <c r="A240" s="7" t="s">
        <v>285</v>
      </c>
      <c r="B240" s="10" t="s">
        <v>274</v>
      </c>
      <c r="C240" s="55">
        <v>527000</v>
      </c>
      <c r="D240" s="55">
        <v>527000</v>
      </c>
      <c r="E240" s="11">
        <v>530000</v>
      </c>
    </row>
    <row r="241" spans="1:5" ht="21.75">
      <c r="A241" s="7" t="s">
        <v>284</v>
      </c>
      <c r="B241" s="10"/>
      <c r="C241" s="8"/>
      <c r="D241" s="8"/>
      <c r="E241" s="11"/>
    </row>
    <row r="242" spans="1:5" ht="21.75">
      <c r="A242" s="7" t="s">
        <v>286</v>
      </c>
      <c r="B242" s="10" t="s">
        <v>274</v>
      </c>
      <c r="C242" s="55">
        <v>400000</v>
      </c>
      <c r="D242" s="55">
        <v>400000</v>
      </c>
      <c r="E242" s="11">
        <v>402000</v>
      </c>
    </row>
    <row r="243" spans="1:5" ht="21.75">
      <c r="A243" s="7" t="s">
        <v>287</v>
      </c>
      <c r="B243" s="10" t="s">
        <v>274</v>
      </c>
      <c r="C243" s="8" t="s">
        <v>28</v>
      </c>
      <c r="D243" s="8" t="s">
        <v>28</v>
      </c>
      <c r="E243" s="11">
        <v>200000</v>
      </c>
    </row>
    <row r="244" spans="1:5" ht="21.75">
      <c r="A244" s="7" t="s">
        <v>288</v>
      </c>
      <c r="B244" s="10" t="s">
        <v>274</v>
      </c>
      <c r="C244" s="55">
        <v>94000</v>
      </c>
      <c r="D244" s="55">
        <v>94000</v>
      </c>
      <c r="E244" s="11">
        <v>94000</v>
      </c>
    </row>
    <row r="245" spans="1:5" ht="21.75">
      <c r="A245" s="7" t="s">
        <v>289</v>
      </c>
      <c r="B245" s="10" t="s">
        <v>274</v>
      </c>
      <c r="C245" s="8" t="s">
        <v>28</v>
      </c>
      <c r="D245" s="8" t="s">
        <v>28</v>
      </c>
      <c r="E245" s="11">
        <v>1155000</v>
      </c>
    </row>
    <row r="246" spans="1:5" ht="21.75">
      <c r="A246" s="7" t="s">
        <v>290</v>
      </c>
      <c r="B246" s="10"/>
      <c r="C246" s="8"/>
      <c r="D246" s="8"/>
      <c r="E246" s="11"/>
    </row>
    <row r="247" spans="1:5" ht="21.75">
      <c r="A247" s="7" t="s">
        <v>291</v>
      </c>
      <c r="B247" s="10" t="s">
        <v>274</v>
      </c>
      <c r="C247" s="8" t="s">
        <v>28</v>
      </c>
      <c r="D247" s="8" t="s">
        <v>28</v>
      </c>
      <c r="E247" s="11">
        <v>61900</v>
      </c>
    </row>
    <row r="248" spans="1:5" ht="21.75">
      <c r="A248" s="7" t="s">
        <v>292</v>
      </c>
      <c r="B248" s="10"/>
      <c r="C248" s="8"/>
      <c r="D248" s="8"/>
      <c r="E248" s="11"/>
    </row>
    <row r="249" spans="1:5" ht="21.75">
      <c r="A249" s="7" t="s">
        <v>293</v>
      </c>
      <c r="B249" s="10" t="s">
        <v>274</v>
      </c>
      <c r="C249" s="8" t="s">
        <v>28</v>
      </c>
      <c r="D249" s="8" t="s">
        <v>28</v>
      </c>
      <c r="E249" s="11">
        <v>500000</v>
      </c>
    </row>
    <row r="250" spans="1:5" ht="21.75">
      <c r="A250" s="7" t="s">
        <v>294</v>
      </c>
      <c r="B250" s="10"/>
      <c r="C250" s="8"/>
      <c r="D250" s="8"/>
      <c r="E250" s="11"/>
    </row>
    <row r="251" spans="1:5" ht="21.75">
      <c r="A251" s="7" t="s">
        <v>295</v>
      </c>
      <c r="B251" s="10" t="s">
        <v>274</v>
      </c>
      <c r="C251" s="8" t="s">
        <v>28</v>
      </c>
      <c r="D251" s="8" t="s">
        <v>28</v>
      </c>
      <c r="E251" s="11">
        <v>158900</v>
      </c>
    </row>
    <row r="252" spans="1:5" ht="21.75">
      <c r="A252" s="7" t="s">
        <v>296</v>
      </c>
      <c r="B252" s="10" t="s">
        <v>274</v>
      </c>
      <c r="C252" s="8" t="s">
        <v>28</v>
      </c>
      <c r="D252" s="8" t="s">
        <v>28</v>
      </c>
      <c r="E252" s="11">
        <v>840000</v>
      </c>
    </row>
    <row r="253" spans="1:5" ht="21.75">
      <c r="A253" s="7" t="s">
        <v>297</v>
      </c>
      <c r="B253" s="10"/>
      <c r="C253" s="8" t="s">
        <v>28</v>
      </c>
      <c r="D253" s="8" t="s">
        <v>28</v>
      </c>
      <c r="E253" s="11">
        <v>477000</v>
      </c>
    </row>
    <row r="254" spans="1:5" ht="21.75">
      <c r="A254" s="7" t="s">
        <v>298</v>
      </c>
      <c r="B254" s="10" t="s">
        <v>274</v>
      </c>
      <c r="C254" s="8" t="s">
        <v>28</v>
      </c>
      <c r="D254" s="8" t="s">
        <v>28</v>
      </c>
      <c r="E254" s="11">
        <v>45500</v>
      </c>
    </row>
    <row r="255" spans="1:5" ht="21.75">
      <c r="A255" s="7" t="s">
        <v>299</v>
      </c>
      <c r="B255" s="10"/>
      <c r="C255" s="8"/>
      <c r="D255" s="8"/>
      <c r="E255" s="7"/>
    </row>
    <row r="256" spans="1:5" ht="21.75">
      <c r="A256" s="7" t="s">
        <v>300</v>
      </c>
      <c r="B256" s="10" t="s">
        <v>274</v>
      </c>
      <c r="C256" s="8" t="s">
        <v>28</v>
      </c>
      <c r="D256" s="8" t="s">
        <v>28</v>
      </c>
      <c r="E256" s="11">
        <v>405000</v>
      </c>
    </row>
    <row r="257" spans="1:5" ht="21.75">
      <c r="A257" s="7" t="s">
        <v>301</v>
      </c>
      <c r="B257" s="10" t="s">
        <v>274</v>
      </c>
      <c r="C257" s="8" t="s">
        <v>28</v>
      </c>
      <c r="D257" s="8" t="s">
        <v>28</v>
      </c>
      <c r="E257" s="11">
        <v>143000</v>
      </c>
    </row>
    <row r="258" spans="1:5" ht="21.75">
      <c r="A258" s="7" t="s">
        <v>302</v>
      </c>
      <c r="B258" s="10"/>
      <c r="C258" s="55">
        <v>33000</v>
      </c>
      <c r="D258" s="55">
        <v>33000</v>
      </c>
      <c r="E258" s="11">
        <v>33000</v>
      </c>
    </row>
    <row r="259" spans="1:5" ht="21.75">
      <c r="A259" s="7" t="s">
        <v>303</v>
      </c>
      <c r="B259" s="10" t="s">
        <v>304</v>
      </c>
      <c r="C259" s="8" t="s">
        <v>28</v>
      </c>
      <c r="D259" s="8" t="s">
        <v>28</v>
      </c>
      <c r="E259" s="11">
        <v>196900</v>
      </c>
    </row>
    <row r="260" spans="1:5" ht="21.75">
      <c r="A260" s="7" t="s">
        <v>305</v>
      </c>
      <c r="B260" s="10"/>
      <c r="C260" s="8"/>
      <c r="D260" s="8"/>
      <c r="E260" s="11"/>
    </row>
    <row r="261" spans="1:5" ht="21.75">
      <c r="A261" s="7"/>
      <c r="B261" s="10"/>
      <c r="C261" s="8"/>
      <c r="D261" s="8"/>
      <c r="E261" s="11"/>
    </row>
    <row r="262" spans="1:5" ht="21.75">
      <c r="A262" s="26" t="s">
        <v>63</v>
      </c>
      <c r="B262" s="16"/>
      <c r="C262" s="26" t="s">
        <v>28</v>
      </c>
      <c r="D262" s="26" t="s">
        <v>28</v>
      </c>
      <c r="E262" s="35" t="s">
        <v>28</v>
      </c>
    </row>
    <row r="263" spans="1:5" ht="21.75">
      <c r="A263" s="5" t="s">
        <v>64</v>
      </c>
      <c r="B263" s="36"/>
      <c r="C263" s="5" t="s">
        <v>28</v>
      </c>
      <c r="D263" s="5" t="s">
        <v>28</v>
      </c>
      <c r="E263" s="19" t="str">
        <f>E262</f>
        <v>-</v>
      </c>
    </row>
    <row r="264" spans="1:5" ht="21.75">
      <c r="A264" s="72" t="s">
        <v>345</v>
      </c>
      <c r="B264" s="10" t="s">
        <v>274</v>
      </c>
      <c r="C264" s="8" t="s">
        <v>28</v>
      </c>
      <c r="D264" s="8" t="s">
        <v>28</v>
      </c>
      <c r="E264" s="11">
        <v>401900</v>
      </c>
    </row>
    <row r="265" spans="1:5" ht="21.75">
      <c r="A265" s="7" t="s">
        <v>344</v>
      </c>
      <c r="B265" s="10"/>
      <c r="C265" s="8"/>
      <c r="D265" s="8"/>
      <c r="E265" s="11"/>
    </row>
    <row r="266" spans="1:5" ht="21.75">
      <c r="A266" s="7" t="s">
        <v>308</v>
      </c>
      <c r="B266" s="10" t="s">
        <v>304</v>
      </c>
      <c r="C266" s="8" t="s">
        <v>28</v>
      </c>
      <c r="D266" s="8" t="s">
        <v>28</v>
      </c>
      <c r="E266" s="11">
        <v>245000</v>
      </c>
    </row>
    <row r="267" spans="1:5" ht="21.75">
      <c r="A267" s="7" t="s">
        <v>309</v>
      </c>
      <c r="B267" s="10" t="s">
        <v>274</v>
      </c>
      <c r="C267" s="55">
        <v>60800</v>
      </c>
      <c r="D267" s="55">
        <v>60800</v>
      </c>
      <c r="E267" s="11">
        <v>80000</v>
      </c>
    </row>
    <row r="268" spans="1:5" ht="21.75">
      <c r="A268" s="7" t="s">
        <v>346</v>
      </c>
      <c r="B268" s="10" t="s">
        <v>274</v>
      </c>
      <c r="C268" s="8" t="s">
        <v>28</v>
      </c>
      <c r="D268" s="8" t="s">
        <v>28</v>
      </c>
      <c r="E268" s="11">
        <v>238500</v>
      </c>
    </row>
    <row r="269" spans="1:5" ht="21.75">
      <c r="A269" s="7" t="s">
        <v>347</v>
      </c>
      <c r="B269" s="10"/>
      <c r="C269" s="8"/>
      <c r="D269" s="8"/>
      <c r="E269" s="7"/>
    </row>
    <row r="270" spans="1:5" ht="21.75">
      <c r="A270" s="7" t="s">
        <v>312</v>
      </c>
      <c r="B270" s="10" t="s">
        <v>274</v>
      </c>
      <c r="C270" s="55">
        <v>53000</v>
      </c>
      <c r="D270" s="55">
        <v>53000</v>
      </c>
      <c r="E270" s="11">
        <v>53000</v>
      </c>
    </row>
    <row r="271" spans="1:5" ht="21.75">
      <c r="A271" s="7" t="s">
        <v>313</v>
      </c>
      <c r="B271" s="10" t="s">
        <v>274</v>
      </c>
      <c r="C271" s="55">
        <v>100000</v>
      </c>
      <c r="D271" s="55">
        <v>100000</v>
      </c>
      <c r="E271" s="11">
        <v>100000</v>
      </c>
    </row>
    <row r="272" spans="1:10" s="7" customFormat="1" ht="21.75">
      <c r="A272" s="7" t="s">
        <v>319</v>
      </c>
      <c r="B272" s="10"/>
      <c r="C272" s="55">
        <v>29500</v>
      </c>
      <c r="D272" s="55">
        <v>29500</v>
      </c>
      <c r="E272" s="11">
        <v>29500</v>
      </c>
      <c r="F272" s="22"/>
      <c r="G272" s="22"/>
      <c r="H272" s="22"/>
      <c r="I272" s="22"/>
      <c r="J272" s="22"/>
    </row>
    <row r="273" spans="1:10" s="7" customFormat="1" ht="21.75">
      <c r="A273" s="7" t="s">
        <v>320</v>
      </c>
      <c r="C273" s="64">
        <v>62500</v>
      </c>
      <c r="D273" s="64">
        <v>62500</v>
      </c>
      <c r="E273" s="11">
        <v>62500</v>
      </c>
      <c r="F273" s="22"/>
      <c r="G273" s="22"/>
      <c r="H273" s="22"/>
      <c r="I273" s="22"/>
      <c r="J273" s="22"/>
    </row>
    <row r="274" spans="1:10" s="7" customFormat="1" ht="21.75">
      <c r="A274" s="7" t="s">
        <v>321</v>
      </c>
      <c r="C274" s="64">
        <v>8000</v>
      </c>
      <c r="D274" s="64">
        <v>8000</v>
      </c>
      <c r="E274" s="11">
        <v>8000</v>
      </c>
      <c r="F274" s="22"/>
      <c r="G274" s="22"/>
      <c r="H274" s="22"/>
      <c r="I274" s="22"/>
      <c r="J274" s="22"/>
    </row>
    <row r="275" spans="1:10" s="7" customFormat="1" ht="21.75">
      <c r="A275" s="7" t="s">
        <v>322</v>
      </c>
      <c r="C275" s="8" t="s">
        <v>28</v>
      </c>
      <c r="D275" s="8" t="s">
        <v>28</v>
      </c>
      <c r="E275" s="11">
        <v>144688</v>
      </c>
      <c r="F275" s="22"/>
      <c r="G275" s="22"/>
      <c r="H275" s="22"/>
      <c r="I275" s="22"/>
      <c r="J275" s="22"/>
    </row>
    <row r="276" spans="6:10" s="7" customFormat="1" ht="21.75">
      <c r="F276" s="22"/>
      <c r="G276" s="22"/>
      <c r="H276" s="22"/>
      <c r="I276" s="22"/>
      <c r="J276" s="22"/>
    </row>
    <row r="277" spans="1:10" s="7" customFormat="1" ht="21.75">
      <c r="A277" s="7" t="s">
        <v>228</v>
      </c>
      <c r="B277" s="10"/>
      <c r="E277" s="11"/>
      <c r="F277" s="22"/>
      <c r="G277" s="22"/>
      <c r="H277" s="22"/>
      <c r="I277" s="22"/>
      <c r="J277" s="22"/>
    </row>
    <row r="278" spans="1:10" s="69" customFormat="1" ht="22.5" thickBot="1">
      <c r="A278" s="65" t="s">
        <v>314</v>
      </c>
      <c r="B278" s="66"/>
      <c r="C278" s="67">
        <f>C213+C83</f>
        <v>5110274.2</v>
      </c>
      <c r="D278" s="67">
        <f>D213+D83</f>
        <v>9222122.629999999</v>
      </c>
      <c r="E278" s="68">
        <f>E214+E185+E177+E157+E110+E101+E98+E90+E84</f>
        <v>23159021</v>
      </c>
      <c r="F278" s="22"/>
      <c r="G278" s="22"/>
      <c r="H278" s="22"/>
      <c r="I278" s="22"/>
      <c r="J278" s="22"/>
    </row>
    <row r="279" spans="1:5" ht="22.5" thickTop="1">
      <c r="A279" s="63"/>
      <c r="B279" s="20"/>
      <c r="C279" s="22"/>
      <c r="D279" s="22"/>
      <c r="E279" s="99"/>
    </row>
    <row r="280" spans="1:5" ht="21.75">
      <c r="A280" s="22"/>
      <c r="B280" s="22"/>
      <c r="C280" s="22"/>
      <c r="D280" s="22"/>
      <c r="E280" s="100"/>
    </row>
    <row r="281" spans="1:5" ht="21.75">
      <c r="A281" s="22"/>
      <c r="B281" s="20"/>
      <c r="C281" s="22"/>
      <c r="D281" s="22"/>
      <c r="E281" s="99"/>
    </row>
    <row r="282" spans="1:5" ht="21.75">
      <c r="A282" s="22"/>
      <c r="B282" s="20"/>
      <c r="C282" s="22"/>
      <c r="D282" s="22"/>
      <c r="E282" s="99"/>
    </row>
    <row r="283" spans="1:5" ht="21.75">
      <c r="A283" s="22"/>
      <c r="B283" s="22"/>
      <c r="C283" s="22"/>
      <c r="D283" s="22"/>
      <c r="E283" s="99"/>
    </row>
    <row r="284" spans="1:5" ht="21.75">
      <c r="A284" s="22"/>
      <c r="B284" s="22"/>
      <c r="C284" s="22"/>
      <c r="D284" s="22"/>
      <c r="E284" s="99"/>
    </row>
    <row r="285" spans="1:5" ht="21.75">
      <c r="A285" s="22"/>
      <c r="B285" s="22"/>
      <c r="C285" s="22"/>
      <c r="D285" s="22"/>
      <c r="E285" s="99"/>
    </row>
    <row r="286" spans="1:5" ht="21.75">
      <c r="A286" s="22"/>
      <c r="B286" s="22"/>
      <c r="C286" s="22"/>
      <c r="D286" s="22"/>
      <c r="E286" s="99"/>
    </row>
    <row r="287" spans="1:5" ht="21.75">
      <c r="A287" s="22"/>
      <c r="B287" s="22"/>
      <c r="C287" s="22"/>
      <c r="D287" s="22"/>
      <c r="E287" s="99"/>
    </row>
    <row r="288" spans="1:5" ht="21.75">
      <c r="A288" s="22"/>
      <c r="B288" s="22"/>
      <c r="C288" s="22"/>
      <c r="D288" s="22"/>
      <c r="E288" s="99"/>
    </row>
    <row r="289" spans="1:5" ht="21.75">
      <c r="A289" s="22"/>
      <c r="B289" s="22"/>
      <c r="C289" s="22"/>
      <c r="D289" s="22"/>
      <c r="E289" s="99"/>
    </row>
    <row r="290" spans="1:5" ht="21.75">
      <c r="A290" s="22"/>
      <c r="B290" s="22"/>
      <c r="C290" s="22"/>
      <c r="D290" s="22"/>
      <c r="E290" s="99"/>
    </row>
    <row r="291" spans="1:5" ht="21.75">
      <c r="A291" s="22"/>
      <c r="B291" s="22"/>
      <c r="C291" s="22"/>
      <c r="D291" s="22"/>
      <c r="E291" s="99"/>
    </row>
  </sheetData>
  <sheetProtection/>
  <mergeCells count="6">
    <mergeCell ref="A78:E78"/>
    <mergeCell ref="A79:E79"/>
    <mergeCell ref="A1:E1"/>
    <mergeCell ref="A2:E2"/>
    <mergeCell ref="A3:E3"/>
    <mergeCell ref="A77:E77"/>
  </mergeCells>
  <printOptions/>
  <pageMargins left="0.1968503937007874" right="0.1968503937007874" top="0.3937007874015748" bottom="0.4330708661417323" header="0.31496062992125984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STS</cp:lastModifiedBy>
  <cp:lastPrinted>2006-09-06T06:58:26Z</cp:lastPrinted>
  <dcterms:created xsi:type="dcterms:W3CDTF">2006-02-08T04:18:40Z</dcterms:created>
  <dcterms:modified xsi:type="dcterms:W3CDTF">2018-07-09T07:11:24Z</dcterms:modified>
  <cp:category/>
  <cp:version/>
  <cp:contentType/>
  <cp:contentStatus/>
</cp:coreProperties>
</file>